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S:\Projects\19-047 Lakota Childrens  Memorial\Design\Opinion of Probable Costs\Civil\"/>
    </mc:Choice>
  </mc:AlternateContent>
  <xr:revisionPtr revIDLastSave="0" documentId="8_{FFD1C87E-3D59-4BF0-B286-6189F42DA176}" xr6:coauthVersionLast="45" xr6:coauthVersionMax="45" xr10:uidLastSave="{00000000-0000-0000-0000-000000000000}"/>
  <bookViews>
    <workbookView xWindow="30480" yWindow="975" windowWidth="25545" windowHeight="13140" xr2:uid="{00000000-000D-0000-FFFF-FFFF00000000}"/>
  </bookViews>
  <sheets>
    <sheet name="BID ITEMS" sheetId="8" r:id="rId1"/>
    <sheet name="Sheet1" sheetId="9" r:id="rId2"/>
    <sheet name="Sheet1 (2)" sheetId="4" r:id="rId3"/>
    <sheet name="Sheet2" sheetId="2" r:id="rId4"/>
    <sheet name="Sheet3" sheetId="3" r:id="rId5"/>
  </sheets>
  <definedNames>
    <definedName name="_xlnm.Print_Area" localSheetId="2">'Sheet1 (2)'!$A$10:$M$87</definedName>
    <definedName name="_xlnm.Print_Titles" localSheetId="0">'BID ITEMS'!$1:$13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2" i="8" l="1"/>
  <c r="E25" i="8"/>
  <c r="E56" i="8"/>
  <c r="E34" i="8" l="1"/>
  <c r="C28" i="8" l="1"/>
  <c r="E52" i="8" l="1"/>
  <c r="E51" i="8" l="1"/>
  <c r="C38" i="8" l="1"/>
  <c r="C27" i="8" l="1"/>
  <c r="C31" i="8" l="1"/>
  <c r="E31" i="8" s="1"/>
  <c r="E13" i="8"/>
  <c r="C37" i="8" l="1"/>
  <c r="E46" i="8"/>
  <c r="E28" i="8" l="1"/>
  <c r="E42" i="8" l="1"/>
  <c r="E47" i="8"/>
  <c r="E43" i="8"/>
  <c r="E49" i="8"/>
  <c r="E44" i="8"/>
  <c r="E45" i="8"/>
  <c r="E48" i="8"/>
  <c r="E33" i="8"/>
  <c r="E50" i="8"/>
  <c r="E58" i="8" l="1"/>
  <c r="E57" i="8"/>
  <c r="E55" i="8"/>
  <c r="E53" i="8" l="1"/>
  <c r="E38" i="8" l="1"/>
  <c r="E39" i="8"/>
  <c r="E40" i="8"/>
  <c r="E41" i="8"/>
  <c r="E29" i="8" l="1"/>
  <c r="E30" i="8"/>
  <c r="E37" i="8" l="1"/>
  <c r="E21" i="8"/>
  <c r="E35" i="8" l="1"/>
  <c r="E27" i="8" l="1"/>
  <c r="E24" i="8" l="1"/>
  <c r="E22" i="8"/>
  <c r="E23" i="8"/>
  <c r="E26" i="8"/>
  <c r="E17" i="8" l="1"/>
  <c r="E18" i="8"/>
  <c r="E15" i="8"/>
  <c r="E16" i="8"/>
  <c r="E19" i="8"/>
  <c r="E14" i="8"/>
  <c r="E60" i="8" s="1"/>
  <c r="J37" i="2" l="1"/>
  <c r="B25" i="2"/>
  <c r="U179" i="2"/>
  <c r="M37" i="2"/>
  <c r="M42" i="2" s="1"/>
  <c r="AD107" i="2"/>
  <c r="AD108" i="2"/>
  <c r="AD109" i="2"/>
  <c r="AD110" i="2"/>
  <c r="AD111" i="2"/>
  <c r="AD112" i="2"/>
  <c r="AD113" i="2"/>
  <c r="AD114" i="2"/>
  <c r="AD115" i="2"/>
  <c r="AD116" i="2"/>
  <c r="AD117" i="2"/>
  <c r="AD118" i="2"/>
  <c r="AD119" i="2"/>
  <c r="AD120" i="2"/>
  <c r="AD121" i="2"/>
  <c r="AD105" i="2"/>
  <c r="J48" i="2" s="1"/>
  <c r="V107" i="2"/>
  <c r="V108" i="2"/>
  <c r="V109" i="2"/>
  <c r="V110" i="2"/>
  <c r="V111" i="2"/>
  <c r="V112" i="2"/>
  <c r="V113" i="2"/>
  <c r="V114" i="2"/>
  <c r="V115" i="2"/>
  <c r="V116" i="2"/>
  <c r="V117" i="2"/>
  <c r="V118" i="2"/>
  <c r="V119" i="2"/>
  <c r="V120" i="2"/>
  <c r="G62" i="2" s="1"/>
  <c r="V121" i="2"/>
  <c r="M106" i="2"/>
  <c r="M107" i="2"/>
  <c r="M108" i="2"/>
  <c r="M109" i="2"/>
  <c r="M110" i="2"/>
  <c r="M111" i="2"/>
  <c r="M112" i="2"/>
  <c r="M113" i="2"/>
  <c r="M114" i="2"/>
  <c r="M115" i="2"/>
  <c r="M116" i="2"/>
  <c r="M117" i="2"/>
  <c r="M118" i="2"/>
  <c r="M119" i="2"/>
  <c r="E61" i="2" s="1"/>
  <c r="M120" i="2"/>
  <c r="E62" i="2" s="1"/>
  <c r="M121" i="2"/>
  <c r="M105" i="2"/>
  <c r="G107" i="2"/>
  <c r="G108" i="2"/>
  <c r="G109" i="2"/>
  <c r="G110" i="2"/>
  <c r="G111" i="2"/>
  <c r="G112" i="2"/>
  <c r="G113" i="2"/>
  <c r="G114" i="2"/>
  <c r="G115" i="2"/>
  <c r="G116" i="2"/>
  <c r="G117" i="2"/>
  <c r="G118" i="2"/>
  <c r="G119" i="2"/>
  <c r="C61" i="2" s="1"/>
  <c r="G120" i="2"/>
  <c r="C62" i="2" s="1"/>
  <c r="G121" i="2"/>
  <c r="G122" i="2"/>
  <c r="G105" i="2"/>
  <c r="V105" i="2"/>
  <c r="G37" i="2"/>
  <c r="O182" i="2"/>
  <c r="AA171" i="2" s="1"/>
  <c r="AC171" i="2" s="1"/>
  <c r="O181" i="2"/>
  <c r="H208" i="2"/>
  <c r="AA172" i="2" s="1"/>
  <c r="AC172" i="2" s="1"/>
  <c r="H207" i="2"/>
  <c r="C172" i="2"/>
  <c r="C182" i="2" s="1"/>
  <c r="AA170" i="2" l="1"/>
  <c r="AC170" i="2"/>
  <c r="C37" i="2"/>
  <c r="C46" i="2"/>
  <c r="U46" i="2" s="1"/>
  <c r="E37" i="2"/>
  <c r="D38" i="2"/>
  <c r="F38" i="2"/>
  <c r="H38" i="2"/>
  <c r="I38" i="2"/>
  <c r="K38" i="2"/>
  <c r="L38" i="2"/>
  <c r="M38" i="2"/>
  <c r="N38" i="2"/>
  <c r="X215" i="2"/>
  <c r="X216" i="2"/>
  <c r="X217" i="2"/>
  <c r="X218" i="2"/>
  <c r="W216" i="2"/>
  <c r="W217" i="2"/>
  <c r="W218" i="2"/>
  <c r="W219" i="2"/>
  <c r="U216" i="2"/>
  <c r="U217" i="2"/>
  <c r="U218" i="2"/>
  <c r="U219" i="2"/>
  <c r="X214" i="2"/>
  <c r="W215" i="2"/>
  <c r="U215" i="2"/>
  <c r="R215" i="2"/>
  <c r="R216" i="2"/>
  <c r="R217" i="2"/>
  <c r="R218" i="2"/>
  <c r="R219" i="2"/>
  <c r="R220" i="2"/>
  <c r="R221" i="2"/>
  <c r="R222" i="2"/>
  <c r="Q215" i="2"/>
  <c r="Q216" i="2"/>
  <c r="Q217" i="2"/>
  <c r="Q218" i="2"/>
  <c r="Q219" i="2"/>
  <c r="Q220" i="2"/>
  <c r="Q221" i="2"/>
  <c r="Q222" i="2"/>
  <c r="O215" i="2"/>
  <c r="O216" i="2"/>
  <c r="O217" i="2"/>
  <c r="O218" i="2"/>
  <c r="O219" i="2"/>
  <c r="O220" i="2"/>
  <c r="O221" i="2"/>
  <c r="O222" i="2"/>
  <c r="R214" i="2"/>
  <c r="Q214" i="2"/>
  <c r="O214" i="2"/>
  <c r="H228" i="2"/>
  <c r="J228" i="2"/>
  <c r="K228" i="2"/>
  <c r="H229" i="2"/>
  <c r="J229" i="2"/>
  <c r="K229" i="2"/>
  <c r="H230" i="2"/>
  <c r="J230" i="2"/>
  <c r="K230" i="2"/>
  <c r="H231" i="2"/>
  <c r="J231" i="2"/>
  <c r="K231" i="2"/>
  <c r="H232" i="2"/>
  <c r="J232" i="2"/>
  <c r="K232" i="2"/>
  <c r="H233" i="2"/>
  <c r="J233" i="2"/>
  <c r="K233" i="2"/>
  <c r="H234" i="2"/>
  <c r="J234" i="2"/>
  <c r="K234" i="2"/>
  <c r="H235" i="2"/>
  <c r="J235" i="2"/>
  <c r="K235" i="2"/>
  <c r="H236" i="2"/>
  <c r="J236" i="2"/>
  <c r="K236" i="2"/>
  <c r="H237" i="2"/>
  <c r="J237" i="2"/>
  <c r="K237" i="2"/>
  <c r="H238" i="2"/>
  <c r="J238" i="2"/>
  <c r="K238" i="2"/>
  <c r="H239" i="2"/>
  <c r="J239" i="2"/>
  <c r="K239" i="2"/>
  <c r="H240" i="2"/>
  <c r="J240" i="2"/>
  <c r="K240" i="2"/>
  <c r="K227" i="2"/>
  <c r="J227" i="2"/>
  <c r="H227" i="2"/>
  <c r="H225" i="2"/>
  <c r="J225" i="2"/>
  <c r="K225" i="2"/>
  <c r="H226" i="2"/>
  <c r="J226" i="2"/>
  <c r="K226" i="2"/>
  <c r="K224" i="2"/>
  <c r="J224" i="2"/>
  <c r="H224" i="2"/>
  <c r="H219" i="2"/>
  <c r="J219" i="2"/>
  <c r="K219" i="2"/>
  <c r="H220" i="2"/>
  <c r="J220" i="2"/>
  <c r="K220" i="2"/>
  <c r="H221" i="2"/>
  <c r="J221" i="2"/>
  <c r="K221" i="2"/>
  <c r="H222" i="2"/>
  <c r="J222" i="2"/>
  <c r="K222" i="2"/>
  <c r="H223" i="2"/>
  <c r="J223" i="2"/>
  <c r="K223" i="2"/>
  <c r="H215" i="2"/>
  <c r="J215" i="2"/>
  <c r="K215" i="2"/>
  <c r="H216" i="2"/>
  <c r="J216" i="2"/>
  <c r="K216" i="2"/>
  <c r="H217" i="2"/>
  <c r="J217" i="2"/>
  <c r="K217" i="2"/>
  <c r="H218" i="2"/>
  <c r="J218" i="2"/>
  <c r="K218" i="2"/>
  <c r="K214" i="2"/>
  <c r="J214" i="2"/>
  <c r="H214" i="2"/>
  <c r="H243" i="2" s="1"/>
  <c r="F215" i="2"/>
  <c r="F216" i="2"/>
  <c r="F217" i="2"/>
  <c r="F218" i="2"/>
  <c r="F219" i="2"/>
  <c r="F220" i="2"/>
  <c r="F221" i="2"/>
  <c r="F222" i="2"/>
  <c r="F223" i="2"/>
  <c r="F214" i="2"/>
  <c r="E215" i="2"/>
  <c r="E216" i="2"/>
  <c r="E217" i="2"/>
  <c r="E218" i="2"/>
  <c r="E219" i="2"/>
  <c r="E220" i="2"/>
  <c r="E221" i="2"/>
  <c r="E222" i="2"/>
  <c r="E223" i="2"/>
  <c r="E214" i="2"/>
  <c r="C221" i="2"/>
  <c r="C222" i="2"/>
  <c r="C223" i="2"/>
  <c r="C215" i="2"/>
  <c r="C216" i="2"/>
  <c r="C217" i="2"/>
  <c r="C218" i="2"/>
  <c r="C219" i="2"/>
  <c r="C220" i="2"/>
  <c r="C214" i="2"/>
  <c r="O36" i="2"/>
  <c r="U70" i="2"/>
  <c r="U69" i="2"/>
  <c r="O224" i="2" l="1"/>
  <c r="AB179" i="2"/>
  <c r="H244" i="2"/>
  <c r="H246" i="2" s="1"/>
  <c r="O225" i="2"/>
  <c r="AC176" i="2"/>
  <c r="U221" i="2"/>
  <c r="C225" i="2"/>
  <c r="AA122" i="2"/>
  <c r="AD122" i="2" s="1"/>
  <c r="T122" i="2"/>
  <c r="S122" i="2"/>
  <c r="O122" i="2"/>
  <c r="V122" i="2" s="1"/>
  <c r="L122" i="2"/>
  <c r="J122" i="2"/>
  <c r="J64" i="2"/>
  <c r="G64" i="2"/>
  <c r="E64" i="2"/>
  <c r="C65" i="2"/>
  <c r="C64" i="2"/>
  <c r="M122" i="2" l="1"/>
  <c r="J65" i="2"/>
  <c r="O227" i="2"/>
  <c r="AA213" i="2" s="1"/>
  <c r="G65" i="2"/>
  <c r="U64" i="2"/>
  <c r="E65" i="2"/>
  <c r="N164" i="2"/>
  <c r="N165" i="2" s="1"/>
  <c r="N78" i="2" s="1"/>
  <c r="L164" i="2"/>
  <c r="L165" i="2" s="1"/>
  <c r="L78" i="2" s="1"/>
  <c r="J164" i="2"/>
  <c r="J165" i="2" s="1"/>
  <c r="J78" i="2" s="1"/>
  <c r="H164" i="2"/>
  <c r="H165" i="2" s="1"/>
  <c r="G78" i="2" s="1"/>
  <c r="F164" i="2"/>
  <c r="F165" i="2" s="1"/>
  <c r="E78" i="2" s="1"/>
  <c r="D164" i="2"/>
  <c r="D165" i="2" s="1"/>
  <c r="C78" i="2" s="1"/>
  <c r="U36" i="2"/>
  <c r="U39" i="2"/>
  <c r="U40" i="2"/>
  <c r="U41" i="2"/>
  <c r="U44" i="2"/>
  <c r="U45" i="2"/>
  <c r="U47" i="2"/>
  <c r="U63" i="2"/>
  <c r="U71" i="2"/>
  <c r="U73" i="2"/>
  <c r="U74" i="2"/>
  <c r="U75" i="2"/>
  <c r="U76" i="2"/>
  <c r="U77" i="2"/>
  <c r="U79" i="2"/>
  <c r="U80" i="2"/>
  <c r="U81" i="2"/>
  <c r="U82" i="2"/>
  <c r="U83" i="2"/>
  <c r="U84" i="2"/>
  <c r="U85" i="2"/>
  <c r="U86" i="2"/>
  <c r="U87" i="2"/>
  <c r="U88" i="2"/>
  <c r="U89" i="2"/>
  <c r="N72" i="2"/>
  <c r="Q106" i="2"/>
  <c r="U106" i="2"/>
  <c r="U65" i="2" l="1"/>
  <c r="U72" i="2"/>
  <c r="U78" i="2"/>
  <c r="B12" i="2"/>
  <c r="B11" i="2"/>
  <c r="C151" i="2" l="1"/>
  <c r="I147" i="2"/>
  <c r="G147" i="2"/>
  <c r="I146" i="2"/>
  <c r="G146" i="2"/>
  <c r="I145" i="2"/>
  <c r="G145" i="2"/>
  <c r="C68" i="2"/>
  <c r="K135" i="2"/>
  <c r="J68" i="2" s="1"/>
  <c r="K134" i="2"/>
  <c r="K133" i="2"/>
  <c r="K128" i="2"/>
  <c r="K127" i="2"/>
  <c r="I135" i="2"/>
  <c r="I134" i="2"/>
  <c r="I133" i="2"/>
  <c r="I129" i="2"/>
  <c r="I128" i="2"/>
  <c r="I127" i="2"/>
  <c r="G133" i="2"/>
  <c r="G134" i="2"/>
  <c r="G135" i="2"/>
  <c r="E68" i="2" s="1"/>
  <c r="G127" i="2"/>
  <c r="G128" i="2"/>
  <c r="E128" i="2"/>
  <c r="E134" i="2"/>
  <c r="E127" i="2"/>
  <c r="E133" i="2"/>
  <c r="J56" i="2"/>
  <c r="G56" i="2"/>
  <c r="E56" i="2"/>
  <c r="C56" i="2"/>
  <c r="J50" i="2"/>
  <c r="J51" i="2"/>
  <c r="J52" i="2"/>
  <c r="J53" i="2"/>
  <c r="J54" i="2"/>
  <c r="J55" i="2"/>
  <c r="J57" i="2"/>
  <c r="J58" i="2"/>
  <c r="J59" i="2"/>
  <c r="J60" i="2"/>
  <c r="J61" i="2"/>
  <c r="J62" i="2"/>
  <c r="AA106" i="2"/>
  <c r="AD106" i="2" s="1"/>
  <c r="G50" i="2"/>
  <c r="G51" i="2"/>
  <c r="G52" i="2"/>
  <c r="G53" i="2"/>
  <c r="G54" i="2"/>
  <c r="G55" i="2"/>
  <c r="G57" i="2"/>
  <c r="G58" i="2"/>
  <c r="G59" i="2"/>
  <c r="G60" i="2"/>
  <c r="G61" i="2"/>
  <c r="E49" i="2"/>
  <c r="E50" i="2"/>
  <c r="E51" i="2"/>
  <c r="E52" i="2"/>
  <c r="E53" i="2"/>
  <c r="E54" i="2"/>
  <c r="E55" i="2"/>
  <c r="E57" i="2"/>
  <c r="E58" i="2"/>
  <c r="E59" i="2"/>
  <c r="E60" i="2"/>
  <c r="C50" i="2"/>
  <c r="C51" i="2"/>
  <c r="C52" i="2"/>
  <c r="C53" i="2"/>
  <c r="C54" i="2"/>
  <c r="C55" i="2"/>
  <c r="C57" i="2"/>
  <c r="C58" i="2"/>
  <c r="C59" i="2"/>
  <c r="C60" i="2"/>
  <c r="G48" i="2"/>
  <c r="P106" i="2"/>
  <c r="V106" i="2" s="1"/>
  <c r="E48" i="2"/>
  <c r="E106" i="2"/>
  <c r="G106" i="2" l="1"/>
  <c r="C49" i="2" s="1"/>
  <c r="U55" i="2"/>
  <c r="J49" i="2"/>
  <c r="C48" i="2"/>
  <c r="AE105" i="2"/>
  <c r="E66" i="2"/>
  <c r="E38" i="2" s="1"/>
  <c r="U59" i="2"/>
  <c r="U50" i="2"/>
  <c r="U56" i="2"/>
  <c r="U57" i="2"/>
  <c r="U62" i="2"/>
  <c r="U53" i="2"/>
  <c r="U61" i="2"/>
  <c r="U52" i="2"/>
  <c r="U58" i="2"/>
  <c r="U54" i="2"/>
  <c r="U60" i="2"/>
  <c r="U51" i="2"/>
  <c r="G49" i="2"/>
  <c r="J66" i="2"/>
  <c r="J38" i="2" s="1"/>
  <c r="C66" i="2"/>
  <c r="C38" i="2" s="1"/>
  <c r="G67" i="2"/>
  <c r="C67" i="2"/>
  <c r="E67" i="2"/>
  <c r="G66" i="2"/>
  <c r="G38" i="2" s="1"/>
  <c r="J67" i="2"/>
  <c r="G68" i="2"/>
  <c r="U68" i="2" s="1"/>
  <c r="AE120" i="2"/>
  <c r="AE114" i="2"/>
  <c r="AE113" i="2"/>
  <c r="AE119" i="2"/>
  <c r="AE111" i="2"/>
  <c r="AE118" i="2"/>
  <c r="AE117" i="2"/>
  <c r="AE108" i="2"/>
  <c r="AE112" i="2"/>
  <c r="AE116" i="2"/>
  <c r="AE107" i="2"/>
  <c r="AE110" i="2"/>
  <c r="AE115" i="2"/>
  <c r="K57" i="4"/>
  <c r="K58" i="4"/>
  <c r="K59" i="4"/>
  <c r="K60" i="4"/>
  <c r="K61" i="4"/>
  <c r="K62" i="4"/>
  <c r="K63" i="4"/>
  <c r="K64" i="4"/>
  <c r="K65" i="4"/>
  <c r="K66" i="4"/>
  <c r="K67" i="4"/>
  <c r="K68" i="4"/>
  <c r="K69" i="4"/>
  <c r="K71" i="4"/>
  <c r="K72" i="4"/>
  <c r="K73" i="4"/>
  <c r="K74" i="4"/>
  <c r="K75" i="4"/>
  <c r="K76" i="4"/>
  <c r="K77" i="4"/>
  <c r="K78" i="4"/>
  <c r="K79" i="4"/>
  <c r="K80" i="4"/>
  <c r="K81" i="4"/>
  <c r="K83" i="4"/>
  <c r="K84" i="4"/>
  <c r="I78" i="4"/>
  <c r="I79" i="4"/>
  <c r="I80" i="4"/>
  <c r="I81" i="4"/>
  <c r="I82" i="4"/>
  <c r="D83" i="4"/>
  <c r="E83" i="4"/>
  <c r="F83" i="4"/>
  <c r="G83" i="4"/>
  <c r="H83" i="4"/>
  <c r="I83" i="4"/>
  <c r="D84" i="4"/>
  <c r="E84" i="4"/>
  <c r="F84" i="4"/>
  <c r="G84" i="4"/>
  <c r="H84" i="4"/>
  <c r="I84" i="4"/>
  <c r="B57" i="4"/>
  <c r="B58" i="4"/>
  <c r="C58" i="4"/>
  <c r="B59" i="4"/>
  <c r="C59" i="4"/>
  <c r="B60" i="4"/>
  <c r="C60" i="4"/>
  <c r="B61" i="4"/>
  <c r="C61" i="4"/>
  <c r="B62" i="4"/>
  <c r="C62" i="4"/>
  <c r="B63" i="4"/>
  <c r="C63" i="4"/>
  <c r="B64" i="4"/>
  <c r="C64" i="4"/>
  <c r="B65" i="4"/>
  <c r="C65" i="4"/>
  <c r="B66" i="4"/>
  <c r="C66" i="4"/>
  <c r="B67" i="4"/>
  <c r="C67" i="4"/>
  <c r="B68" i="4"/>
  <c r="C68" i="4"/>
  <c r="B69" i="4"/>
  <c r="C69" i="4"/>
  <c r="B70" i="4"/>
  <c r="C70" i="4"/>
  <c r="B71" i="4"/>
  <c r="C71" i="4"/>
  <c r="B72" i="4"/>
  <c r="C72" i="4"/>
  <c r="B73" i="4"/>
  <c r="C73" i="4"/>
  <c r="B74" i="4"/>
  <c r="C74" i="4"/>
  <c r="B75" i="4"/>
  <c r="C75" i="4"/>
  <c r="B76" i="4"/>
  <c r="C76" i="4"/>
  <c r="B77" i="4"/>
  <c r="C77" i="4"/>
  <c r="B78" i="4"/>
  <c r="C78" i="4"/>
  <c r="B79" i="4"/>
  <c r="C79" i="4"/>
  <c r="B80" i="4"/>
  <c r="C80" i="4"/>
  <c r="B81" i="4"/>
  <c r="C81" i="4"/>
  <c r="B82" i="4"/>
  <c r="C82" i="4"/>
  <c r="B83" i="4"/>
  <c r="C83" i="4"/>
  <c r="B84" i="4"/>
  <c r="C84" i="4"/>
  <c r="A83" i="4"/>
  <c r="A84" i="4"/>
  <c r="A58" i="4"/>
  <c r="A59" i="4"/>
  <c r="A60" i="4"/>
  <c r="A61" i="4"/>
  <c r="A62" i="4"/>
  <c r="A63" i="4"/>
  <c r="A64" i="4"/>
  <c r="A65" i="4"/>
  <c r="A66" i="4"/>
  <c r="A67" i="4"/>
  <c r="A68" i="4"/>
  <c r="A69" i="4"/>
  <c r="A70" i="4"/>
  <c r="A71" i="4"/>
  <c r="A72" i="4"/>
  <c r="A73" i="4"/>
  <c r="A74" i="4"/>
  <c r="A75" i="4"/>
  <c r="A76" i="4"/>
  <c r="A77" i="4"/>
  <c r="A78" i="4"/>
  <c r="A79" i="4"/>
  <c r="A80" i="4"/>
  <c r="A81" i="4"/>
  <c r="A82" i="4"/>
  <c r="A57" i="4"/>
  <c r="D44" i="4"/>
  <c r="F44" i="4"/>
  <c r="G44" i="4"/>
  <c r="H44" i="4"/>
  <c r="J44" i="4"/>
  <c r="L44" i="4"/>
  <c r="D45" i="4"/>
  <c r="E45" i="4"/>
  <c r="F45" i="4"/>
  <c r="G45" i="4"/>
  <c r="H45" i="4"/>
  <c r="I45" i="4"/>
  <c r="J45" i="4"/>
  <c r="K45" i="4"/>
  <c r="L45" i="4"/>
  <c r="M45" i="4"/>
  <c r="D46" i="4"/>
  <c r="E46" i="4"/>
  <c r="F46" i="4"/>
  <c r="G46" i="4"/>
  <c r="H46" i="4"/>
  <c r="I46" i="4"/>
  <c r="J46" i="4"/>
  <c r="K46" i="4"/>
  <c r="L46" i="4"/>
  <c r="M46" i="4"/>
  <c r="C45" i="4"/>
  <c r="C46" i="4"/>
  <c r="B20" i="4"/>
  <c r="B21" i="4"/>
  <c r="B22" i="4"/>
  <c r="B23" i="4"/>
  <c r="B24" i="4"/>
  <c r="B25" i="4"/>
  <c r="B26" i="4"/>
  <c r="B27" i="4"/>
  <c r="B28" i="4"/>
  <c r="B29" i="4"/>
  <c r="B30" i="4"/>
  <c r="B31" i="4"/>
  <c r="B32" i="4"/>
  <c r="B33" i="4"/>
  <c r="B34" i="4"/>
  <c r="B35" i="4"/>
  <c r="B36" i="4"/>
  <c r="B37" i="4"/>
  <c r="B38" i="4"/>
  <c r="B39" i="4"/>
  <c r="B40" i="4"/>
  <c r="B41" i="4"/>
  <c r="B42" i="4"/>
  <c r="B43" i="4"/>
  <c r="B44" i="4"/>
  <c r="B45" i="4"/>
  <c r="B46" i="4"/>
  <c r="B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19" i="4"/>
  <c r="U48" i="2" l="1"/>
  <c r="AE106" i="2"/>
  <c r="U49" i="2"/>
  <c r="U67" i="2"/>
  <c r="U38" i="2"/>
  <c r="U66" i="2"/>
  <c r="B18" i="2"/>
  <c r="B7" i="2"/>
  <c r="B6" i="2"/>
  <c r="G42" i="2" l="1"/>
  <c r="J42" i="2"/>
  <c r="C42" i="2"/>
  <c r="E42" i="2"/>
  <c r="I42" i="2"/>
  <c r="L37" i="2"/>
  <c r="AA214" i="2"/>
  <c r="AA216" i="2" s="1"/>
  <c r="D26" i="4"/>
  <c r="D34" i="4"/>
  <c r="L87" i="4"/>
  <c r="D58" i="4"/>
  <c r="E58" i="4"/>
  <c r="F58" i="4"/>
  <c r="G58" i="4"/>
  <c r="H58" i="4"/>
  <c r="I58" i="4"/>
  <c r="D59" i="4"/>
  <c r="E59" i="4"/>
  <c r="F59" i="4"/>
  <c r="G59" i="4"/>
  <c r="H59" i="4"/>
  <c r="I59" i="4"/>
  <c r="F57" i="4"/>
  <c r="G57" i="4"/>
  <c r="H57" i="4"/>
  <c r="I57" i="4"/>
  <c r="E57" i="4"/>
  <c r="D57" i="4"/>
  <c r="D20" i="4"/>
  <c r="E20" i="4"/>
  <c r="F20" i="4"/>
  <c r="G20" i="4"/>
  <c r="H20" i="4"/>
  <c r="I20" i="4"/>
  <c r="J20" i="4"/>
  <c r="K20" i="4"/>
  <c r="L20" i="4"/>
  <c r="M20" i="4"/>
  <c r="D21" i="4"/>
  <c r="E21" i="4"/>
  <c r="F21" i="4"/>
  <c r="G21" i="4"/>
  <c r="H21" i="4"/>
  <c r="I21" i="4"/>
  <c r="J21" i="4"/>
  <c r="K21" i="4"/>
  <c r="L21" i="4"/>
  <c r="M21" i="4"/>
  <c r="F23" i="4"/>
  <c r="G23" i="4"/>
  <c r="H23" i="4"/>
  <c r="I23" i="4"/>
  <c r="J23" i="4"/>
  <c r="K23" i="4"/>
  <c r="L23" i="4"/>
  <c r="M23" i="4"/>
  <c r="D24" i="4"/>
  <c r="F24" i="4"/>
  <c r="H24" i="4"/>
  <c r="J24" i="4"/>
  <c r="F26" i="4"/>
  <c r="D27" i="4"/>
  <c r="F27" i="4"/>
  <c r="F28" i="4"/>
  <c r="H28" i="4"/>
  <c r="J28" i="4"/>
  <c r="L28" i="4"/>
  <c r="D29" i="4"/>
  <c r="F29" i="4"/>
  <c r="H29" i="4"/>
  <c r="J29" i="4"/>
  <c r="L29" i="4"/>
  <c r="F33" i="4"/>
  <c r="G33" i="4"/>
  <c r="H33" i="4"/>
  <c r="I33" i="4"/>
  <c r="J33" i="4"/>
  <c r="K33" i="4"/>
  <c r="L33" i="4"/>
  <c r="M33" i="4"/>
  <c r="F34" i="4"/>
  <c r="G34" i="4"/>
  <c r="D35" i="4"/>
  <c r="F35" i="4"/>
  <c r="G35" i="4"/>
  <c r="D36" i="4"/>
  <c r="F36" i="4"/>
  <c r="G36" i="4"/>
  <c r="H36" i="4"/>
  <c r="J36" i="4"/>
  <c r="L36" i="4"/>
  <c r="D37" i="4"/>
  <c r="F37" i="4"/>
  <c r="G37" i="4"/>
  <c r="D40" i="4"/>
  <c r="F40" i="4"/>
  <c r="G40" i="4"/>
  <c r="H40" i="4"/>
  <c r="J40" i="4"/>
  <c r="L40" i="4"/>
  <c r="F41" i="4"/>
  <c r="G41" i="4"/>
  <c r="H41" i="4"/>
  <c r="J41" i="4"/>
  <c r="L41" i="4"/>
  <c r="F42" i="4"/>
  <c r="G42" i="4"/>
  <c r="H42" i="4"/>
  <c r="J42" i="4"/>
  <c r="L42" i="4"/>
  <c r="F43" i="4"/>
  <c r="G43" i="4"/>
  <c r="H43" i="4"/>
  <c r="J43" i="4"/>
  <c r="L43" i="4"/>
  <c r="F19" i="4"/>
  <c r="G19" i="4"/>
  <c r="H19" i="4"/>
  <c r="I19" i="4"/>
  <c r="J19" i="4"/>
  <c r="K19" i="4"/>
  <c r="L19" i="4"/>
  <c r="M19" i="4"/>
  <c r="D19" i="4"/>
  <c r="C20" i="4"/>
  <c r="C21" i="4"/>
  <c r="C22" i="4"/>
  <c r="C23" i="4"/>
  <c r="C24" i="4"/>
  <c r="C25" i="4"/>
  <c r="C26" i="4"/>
  <c r="C27" i="4"/>
  <c r="C28" i="4"/>
  <c r="C29" i="4"/>
  <c r="C30" i="4"/>
  <c r="C31" i="4"/>
  <c r="C32" i="4"/>
  <c r="C33" i="4"/>
  <c r="C34" i="4"/>
  <c r="C35" i="4"/>
  <c r="C36" i="4"/>
  <c r="C37" i="4"/>
  <c r="C38" i="4"/>
  <c r="C39" i="4"/>
  <c r="C40" i="4"/>
  <c r="C41" i="4"/>
  <c r="C42" i="4"/>
  <c r="C43" i="4"/>
  <c r="C44" i="4"/>
  <c r="H76" i="4"/>
  <c r="F76" i="4"/>
  <c r="D76" i="4"/>
  <c r="L38" i="4"/>
  <c r="J38" i="4"/>
  <c r="H38" i="4"/>
  <c r="F38" i="4"/>
  <c r="D38" i="4"/>
  <c r="L42" i="2" l="1"/>
  <c r="U42" i="2" s="1"/>
  <c r="U37" i="2"/>
  <c r="J82" i="4"/>
  <c r="D28" i="4" l="1"/>
  <c r="E23" i="4"/>
  <c r="J70" i="4"/>
  <c r="K82" i="4"/>
  <c r="E33" i="4" l="1"/>
  <c r="D23" i="4"/>
  <c r="K70" i="4"/>
  <c r="K85" i="4" s="1"/>
  <c r="D33" i="4" l="1"/>
  <c r="K86" i="4"/>
  <c r="B5" i="2"/>
  <c r="O35" i="2" s="1"/>
  <c r="F75" i="4"/>
  <c r="D75" i="4"/>
  <c r="L37" i="4"/>
  <c r="J37" i="4"/>
  <c r="D60" i="4"/>
  <c r="K24" i="4"/>
  <c r="I24" i="4"/>
  <c r="G24" i="4"/>
  <c r="E24" i="4"/>
  <c r="U35" i="2" l="1"/>
  <c r="H69" i="4"/>
  <c r="E30" i="4"/>
  <c r="D43" i="4"/>
  <c r="H37" i="4"/>
  <c r="H35" i="4"/>
  <c r="D69" i="4"/>
  <c r="F77" i="4"/>
  <c r="F68" i="4"/>
  <c r="D77" i="4"/>
  <c r="D68" i="4"/>
  <c r="L34" i="4"/>
  <c r="L26" i="4"/>
  <c r="E62" i="4"/>
  <c r="D62" i="4"/>
  <c r="H39" i="4"/>
  <c r="H30" i="4"/>
  <c r="F73" i="4"/>
  <c r="F65" i="4"/>
  <c r="H73" i="4"/>
  <c r="H65" i="4"/>
  <c r="F39" i="4"/>
  <c r="F30" i="4"/>
  <c r="J35" i="4"/>
  <c r="J27" i="4"/>
  <c r="L35" i="4"/>
  <c r="L27" i="4"/>
  <c r="J39" i="4"/>
  <c r="J30" i="4"/>
  <c r="J34" i="4"/>
  <c r="J26" i="4"/>
  <c r="F72" i="4"/>
  <c r="F64" i="4"/>
  <c r="H77" i="4"/>
  <c r="H68" i="4"/>
  <c r="M24" i="4"/>
  <c r="L24" i="4"/>
  <c r="D72" i="4"/>
  <c r="D64" i="4"/>
  <c r="D73" i="4"/>
  <c r="D65" i="4"/>
  <c r="L39" i="4"/>
  <c r="L30" i="4"/>
  <c r="K87" i="4"/>
  <c r="L31" i="4"/>
  <c r="F31" i="4"/>
  <c r="I65" i="4"/>
  <c r="I68" i="4"/>
  <c r="I76" i="4"/>
  <c r="G64" i="4"/>
  <c r="G65" i="4"/>
  <c r="G68" i="4"/>
  <c r="G75" i="4"/>
  <c r="G76" i="4"/>
  <c r="G78" i="4"/>
  <c r="G79" i="4"/>
  <c r="G80" i="4"/>
  <c r="G81" i="4"/>
  <c r="G82" i="4"/>
  <c r="E64" i="4"/>
  <c r="E65" i="4"/>
  <c r="E68" i="4"/>
  <c r="E75" i="4"/>
  <c r="E76" i="4"/>
  <c r="E78" i="4"/>
  <c r="E79" i="4"/>
  <c r="E80" i="4"/>
  <c r="E81" i="4"/>
  <c r="E82" i="4"/>
  <c r="M26" i="4"/>
  <c r="M27" i="4"/>
  <c r="M28" i="4"/>
  <c r="M29" i="4"/>
  <c r="M30" i="4"/>
  <c r="M36" i="4"/>
  <c r="M37" i="4"/>
  <c r="M38" i="4"/>
  <c r="M40" i="4"/>
  <c r="M41" i="4"/>
  <c r="M42" i="4"/>
  <c r="M43" i="4"/>
  <c r="M44" i="4"/>
  <c r="K26" i="4"/>
  <c r="K27" i="4"/>
  <c r="K28" i="4"/>
  <c r="K29" i="4"/>
  <c r="K30" i="4"/>
  <c r="K36" i="4"/>
  <c r="K37" i="4"/>
  <c r="K38" i="4"/>
  <c r="K40" i="4"/>
  <c r="K41" i="4"/>
  <c r="K42" i="4"/>
  <c r="K43" i="4"/>
  <c r="K44" i="4"/>
  <c r="I28" i="4"/>
  <c r="I29" i="4"/>
  <c r="I30" i="4"/>
  <c r="I36" i="4"/>
  <c r="I38" i="4"/>
  <c r="I40" i="4"/>
  <c r="I41" i="4"/>
  <c r="I42" i="4"/>
  <c r="I43" i="4"/>
  <c r="I44" i="4"/>
  <c r="G26" i="4"/>
  <c r="G27" i="4"/>
  <c r="G28" i="4"/>
  <c r="G29" i="4"/>
  <c r="G30" i="4"/>
  <c r="G38" i="4"/>
  <c r="E26" i="4"/>
  <c r="E27" i="4"/>
  <c r="E29" i="4"/>
  <c r="E34" i="4"/>
  <c r="E35" i="4"/>
  <c r="E36" i="4"/>
  <c r="E37" i="4"/>
  <c r="E38" i="4"/>
  <c r="E40" i="4"/>
  <c r="E43" i="4"/>
  <c r="E44" i="4"/>
  <c r="E28" i="4" l="1"/>
  <c r="D39" i="4"/>
  <c r="E41" i="4"/>
  <c r="D41" i="4"/>
  <c r="E42" i="4"/>
  <c r="D42" i="4"/>
  <c r="D30" i="4"/>
  <c r="I27" i="4"/>
  <c r="H27" i="4"/>
  <c r="D31" i="4"/>
  <c r="I37" i="4"/>
  <c r="I35" i="4"/>
  <c r="G77" i="4"/>
  <c r="G39" i="4"/>
  <c r="I39" i="4"/>
  <c r="E72" i="4"/>
  <c r="K39" i="4"/>
  <c r="I77" i="4"/>
  <c r="G72" i="4"/>
  <c r="M34" i="4"/>
  <c r="K34" i="4"/>
  <c r="G73" i="4"/>
  <c r="E77" i="4"/>
  <c r="M39" i="4"/>
  <c r="G25" i="4"/>
  <c r="F25" i="4"/>
  <c r="K25" i="4"/>
  <c r="J25" i="4"/>
  <c r="H26" i="4"/>
  <c r="E63" i="4"/>
  <c r="D63" i="4"/>
  <c r="I63" i="4"/>
  <c r="H63" i="4"/>
  <c r="M25" i="4"/>
  <c r="L25" i="4"/>
  <c r="K35" i="4"/>
  <c r="M35" i="4"/>
  <c r="E73" i="4"/>
  <c r="I73" i="4"/>
  <c r="E25" i="4"/>
  <c r="D25" i="4"/>
  <c r="I26" i="4"/>
  <c r="D22" i="4"/>
  <c r="F60" i="4"/>
  <c r="J22" i="4"/>
  <c r="H22" i="4"/>
  <c r="H60" i="4"/>
  <c r="L22" i="4"/>
  <c r="F22" i="4"/>
  <c r="B17" i="2"/>
  <c r="U43" i="2" l="1"/>
  <c r="E39" i="4"/>
  <c r="I34" i="4"/>
  <c r="H34" i="4"/>
  <c r="G63" i="4"/>
  <c r="F63" i="4"/>
  <c r="F70" i="4"/>
  <c r="F69" i="4"/>
  <c r="J31" i="4"/>
  <c r="I69" i="4"/>
  <c r="G31" i="4"/>
  <c r="M31" i="4"/>
  <c r="E31" i="4"/>
  <c r="E69" i="4"/>
  <c r="H31" i="4" l="1"/>
  <c r="G69" i="4"/>
  <c r="K31" i="4"/>
  <c r="M22" i="4"/>
  <c r="E60" i="4"/>
  <c r="G60" i="4"/>
  <c r="E22" i="4"/>
  <c r="G22" i="4"/>
  <c r="K22" i="4"/>
  <c r="I22" i="4"/>
  <c r="I60" i="4"/>
  <c r="I31" i="4"/>
  <c r="J32" i="4"/>
  <c r="G70" i="4"/>
  <c r="D32" i="4"/>
  <c r="F32" i="4"/>
  <c r="L32" i="4"/>
  <c r="H70" i="4"/>
  <c r="D70" i="4"/>
  <c r="I32" i="4" l="1"/>
  <c r="G85" i="4"/>
  <c r="G86" i="4" s="1"/>
  <c r="G87" i="4" s="1"/>
  <c r="H25" i="4"/>
  <c r="H32" i="4"/>
  <c r="K32" i="4"/>
  <c r="K47" i="4" s="1"/>
  <c r="M32" i="4"/>
  <c r="M47" i="4" s="1"/>
  <c r="I70" i="4"/>
  <c r="G32" i="4"/>
  <c r="G47" i="4" s="1"/>
  <c r="E70" i="4"/>
  <c r="E32" i="4"/>
  <c r="M48" i="4" l="1"/>
  <c r="M49" i="4" s="1"/>
  <c r="K48" i="4"/>
  <c r="K49" i="4" s="1"/>
  <c r="G48" i="4"/>
  <c r="G49" i="4" s="1"/>
  <c r="E85" i="4"/>
  <c r="E86" i="4" s="1"/>
  <c r="E87" i="4" s="1"/>
  <c r="I25" i="4"/>
  <c r="I47" i="4" s="1"/>
  <c r="I85" i="4"/>
  <c r="I48" i="4" l="1"/>
  <c r="I49" i="4" s="1"/>
  <c r="I86" i="4"/>
  <c r="I87" i="4" s="1"/>
  <c r="C19" i="4"/>
  <c r="E19" i="4"/>
  <c r="E47" i="4" s="1"/>
  <c r="C57" i="4"/>
  <c r="T47" i="4" l="1"/>
  <c r="E48" i="4"/>
  <c r="G93" i="4"/>
  <c r="G94" i="4" l="1"/>
  <c r="T62" i="4"/>
  <c r="T48" i="4"/>
  <c r="E49" i="4"/>
  <c r="T49" i="4" l="1"/>
  <c r="T63" i="4"/>
  <c r="G95" i="4"/>
  <c r="M87" i="4"/>
  <c r="E61" i="8" l="1"/>
  <c r="E62" i="8" l="1"/>
</calcChain>
</file>

<file path=xl/sharedStrings.xml><?xml version="1.0" encoding="utf-8"?>
<sst xmlns="http://schemas.openxmlformats.org/spreadsheetml/2006/main" count="695" uniqueCount="241">
  <si>
    <t xml:space="preserve">PROJECT TITLE:   </t>
  </si>
  <si>
    <t xml:space="preserve">SUBMITTAL:   </t>
  </si>
  <si>
    <t xml:space="preserve">4F PROJECT #:   </t>
  </si>
  <si>
    <t xml:space="preserve">DATE:   </t>
  </si>
  <si>
    <t>DESCRIPTION OF BASE BID ITEM</t>
  </si>
  <si>
    <t xml:space="preserve">ESTIMATED QUANTITY </t>
  </si>
  <si>
    <t>UNIT</t>
  </si>
  <si>
    <t>UNIT COST</t>
  </si>
  <si>
    <t>EXTENDED COST</t>
  </si>
  <si>
    <t>DESIGN CONCEPT</t>
  </si>
  <si>
    <t>SEGMENT 1</t>
  </si>
  <si>
    <t>SEGMENT 2</t>
  </si>
  <si>
    <t>SEGMENT 3</t>
  </si>
  <si>
    <t>SEGMENT 4</t>
  </si>
  <si>
    <t>SEGMENT 5</t>
  </si>
  <si>
    <t>SEGMENT 6</t>
  </si>
  <si>
    <t>SEGMENT 7</t>
  </si>
  <si>
    <t>SEGMENT 8</t>
  </si>
  <si>
    <t>SECTION 1</t>
  </si>
  <si>
    <t>FT</t>
  </si>
  <si>
    <t>ASPHALT THICKNESS</t>
  </si>
  <si>
    <t>BASE COURSE THICKNESS</t>
  </si>
  <si>
    <t>SECTION 2</t>
  </si>
  <si>
    <t>CURB AND GUTTER TYPE 1</t>
  </si>
  <si>
    <t>SHOULDER</t>
  </si>
  <si>
    <t>FOOT WIDE (BOTH SIDES)</t>
  </si>
  <si>
    <t>WIDTH OF ASPHALT</t>
  </si>
  <si>
    <t>WIDTH ASPHALT (INCLUDE SHOULDER)</t>
  </si>
  <si>
    <t>SECTION 3</t>
  </si>
  <si>
    <t>PEDESTRAIN SIDEWALK IMPROVEMENTS</t>
  </si>
  <si>
    <t xml:space="preserve">ASPHALT </t>
  </si>
  <si>
    <t>DENSITY</t>
  </si>
  <si>
    <t>LB/FT3</t>
  </si>
  <si>
    <t>BASE COURSE</t>
  </si>
  <si>
    <t>SY</t>
  </si>
  <si>
    <t>Unit</t>
  </si>
  <si>
    <t>Estimated Quanity</t>
  </si>
  <si>
    <t>sy</t>
  </si>
  <si>
    <t>Remove Curb and Gutter</t>
  </si>
  <si>
    <t>LF</t>
  </si>
  <si>
    <t>EA</t>
  </si>
  <si>
    <t>SF</t>
  </si>
  <si>
    <t>LS</t>
  </si>
  <si>
    <t xml:space="preserve">Remove Base Course </t>
  </si>
  <si>
    <t>Remove light pole</t>
  </si>
  <si>
    <t>Mill Asphalt</t>
  </si>
  <si>
    <t xml:space="preserve">Concrete Pan </t>
  </si>
  <si>
    <t>Base Course</t>
  </si>
  <si>
    <t>ton</t>
  </si>
  <si>
    <t>Asphalt</t>
  </si>
  <si>
    <t>Remove  Inlet</t>
  </si>
  <si>
    <t>FEET</t>
  </si>
  <si>
    <t xml:space="preserve">Topsoil </t>
  </si>
  <si>
    <t>Topsoil Remove and Salvage (5' wide)</t>
  </si>
  <si>
    <t>WIDTH ASPHALT Existing</t>
  </si>
  <si>
    <t>5" Thick PCC Sidewalk</t>
  </si>
  <si>
    <t>Remove PCC Concrete (20%)</t>
  </si>
  <si>
    <t>Concrete Pavement</t>
  </si>
  <si>
    <t>BASE COURSE THICKNESS (Asphalt)</t>
  </si>
  <si>
    <t>BASE COURSE THICKNESS (Concrete)</t>
  </si>
  <si>
    <t>Segment Subtotal</t>
  </si>
  <si>
    <t>Contingency (10%)</t>
  </si>
  <si>
    <t>Segment Total</t>
  </si>
  <si>
    <t>Bomber Blvd. Repair</t>
  </si>
  <si>
    <t>AREA INLET</t>
  </si>
  <si>
    <t>CURB INLET</t>
  </si>
  <si>
    <t>0+00 thru 30+00</t>
  </si>
  <si>
    <t>30+01 thru 60+00</t>
  </si>
  <si>
    <t>60+01 thru 90+00</t>
  </si>
  <si>
    <t>91+00 htru 120+00</t>
  </si>
  <si>
    <t>121+00 thru 150+00</t>
  </si>
  <si>
    <t>150+01 thru 164+00</t>
  </si>
  <si>
    <t>SECTION 4</t>
  </si>
  <si>
    <t>SECTION 5</t>
  </si>
  <si>
    <t>SECTION 6</t>
  </si>
  <si>
    <t>12" RCP</t>
  </si>
  <si>
    <t>18" RCP</t>
  </si>
  <si>
    <t>CONNECTION</t>
  </si>
  <si>
    <t>24" RCP</t>
  </si>
  <si>
    <t>10+50</t>
  </si>
  <si>
    <t>6+00</t>
  </si>
  <si>
    <t>14+50</t>
  </si>
  <si>
    <t>32+50</t>
  </si>
  <si>
    <t>41+25</t>
  </si>
  <si>
    <t>40" RCP</t>
  </si>
  <si>
    <t>52+25</t>
  </si>
  <si>
    <t>18" 22.5 BEND</t>
  </si>
  <si>
    <t>18" 45 BEND</t>
  </si>
  <si>
    <t>24" 45 BEND</t>
  </si>
  <si>
    <t>40" 45 BEND</t>
  </si>
  <si>
    <t>TOTAL</t>
  </si>
  <si>
    <t>67+50</t>
  </si>
  <si>
    <t>68+50</t>
  </si>
  <si>
    <t>18X48 TEE</t>
  </si>
  <si>
    <t>83+00</t>
  </si>
  <si>
    <t>84+00</t>
  </si>
  <si>
    <t>97+00</t>
  </si>
  <si>
    <t>18X18 TEE</t>
  </si>
  <si>
    <t>MH</t>
  </si>
  <si>
    <t>CONNECT TO EXISTING MH</t>
  </si>
  <si>
    <t>RCP</t>
  </si>
  <si>
    <t>C&amp;G</t>
  </si>
  <si>
    <t>VALLEY PAN</t>
  </si>
  <si>
    <t>FILLET</t>
  </si>
  <si>
    <t>LEFT</t>
  </si>
  <si>
    <t>RIGHT</t>
  </si>
  <si>
    <t>CURB AND GUTTER</t>
  </si>
  <si>
    <t>TOTALS</t>
  </si>
  <si>
    <t>SIDEWALK</t>
  </si>
  <si>
    <t>ADA PANALS</t>
  </si>
  <si>
    <t>FIGHT</t>
  </si>
  <si>
    <t>PARTIAL DEPTH JOINT REPAIR</t>
  </si>
  <si>
    <t>FIREHYDRANTS</t>
  </si>
  <si>
    <t>FIRE HYDRANT</t>
  </si>
  <si>
    <t>8X6 TEE</t>
  </si>
  <si>
    <t>6" PVC PIPE</t>
  </si>
  <si>
    <t>COUPLING</t>
  </si>
  <si>
    <t>SECTION 4- MILL AND OVERLAY</t>
  </si>
  <si>
    <t>97+25</t>
  </si>
  <si>
    <t>87+50</t>
  </si>
  <si>
    <t>71+50</t>
  </si>
  <si>
    <t>ENCASEMENT</t>
  </si>
  <si>
    <t xml:space="preserve">STRIPING </t>
  </si>
  <si>
    <t>OUTSIDE</t>
  </si>
  <si>
    <t>DOUBLE CENTER</t>
  </si>
  <si>
    <t>TOTAL SINGLE LINE</t>
  </si>
  <si>
    <t>SINGLE LINE STRIPE</t>
  </si>
  <si>
    <t>REMOVE INLET</t>
  </si>
  <si>
    <t>REMOVE SD PIPE</t>
  </si>
  <si>
    <t>40% SIDEWALK REPLACEMENT</t>
  </si>
  <si>
    <t>Section 1 0+00 to 30+00</t>
  </si>
  <si>
    <t>Section 2 30+00 to 90+00</t>
  </si>
  <si>
    <t>Section 3 90+00 to 120+00</t>
  </si>
  <si>
    <t>Section 4 and section 5 120+00 to 150+00</t>
  </si>
  <si>
    <t>SUBTOTAL</t>
  </si>
  <si>
    <t>AREA</t>
  </si>
  <si>
    <t>STATION</t>
  </si>
  <si>
    <t>Typical Section</t>
  </si>
  <si>
    <t>typical section</t>
  </si>
  <si>
    <t>NOTES</t>
  </si>
  <si>
    <t>6" thick SECTION=</t>
  </si>
  <si>
    <t>sf</t>
  </si>
  <si>
    <t>0+00 to 6+00</t>
  </si>
  <si>
    <t>30+00 to 30+60.32</t>
  </si>
  <si>
    <t>90+00 to 98+45.28</t>
  </si>
  <si>
    <t>127+19.30 to 163+64.64</t>
  </si>
  <si>
    <t>2" thick mill and overlay =</t>
  </si>
  <si>
    <t>5+83 to 14+67.83</t>
  </si>
  <si>
    <t>30+60.32 to 41+80</t>
  </si>
  <si>
    <t>approach</t>
  </si>
  <si>
    <t>subtract island</t>
  </si>
  <si>
    <t>7" thick =</t>
  </si>
  <si>
    <t xml:space="preserve">approach </t>
  </si>
  <si>
    <t>98+45.28 to 100+95.89</t>
  </si>
  <si>
    <t>100+95.89 to 125+95.23</t>
  </si>
  <si>
    <t>*7" thick</t>
  </si>
  <si>
    <t>patch</t>
  </si>
  <si>
    <t>total</t>
  </si>
  <si>
    <t>6" thick</t>
  </si>
  <si>
    <t>14+67.83 to 30+00</t>
  </si>
  <si>
    <t>41+80 to 51+80</t>
  </si>
  <si>
    <t>*Mill and Overlay</t>
  </si>
  <si>
    <t>7" thick</t>
  </si>
  <si>
    <t>51+80 to 54+50</t>
  </si>
  <si>
    <t>54+50 to 61+60</t>
  </si>
  <si>
    <t>61+60 to 90+00</t>
  </si>
  <si>
    <t xml:space="preserve">6" thick </t>
  </si>
  <si>
    <t>2" thick mill and overlay</t>
  </si>
  <si>
    <t>TYPICAL SECTION</t>
  </si>
  <si>
    <t>Total</t>
  </si>
  <si>
    <t>STATION/ NOTES</t>
  </si>
  <si>
    <t>1&amp;2</t>
  </si>
  <si>
    <t>Subtotal</t>
  </si>
  <si>
    <t>asphalt</t>
  </si>
  <si>
    <t>curb and gutter area</t>
  </si>
  <si>
    <t>asphalt and curb and gutter</t>
  </si>
  <si>
    <t>(C&amp;G)</t>
  </si>
  <si>
    <t>Asphalt New</t>
  </si>
  <si>
    <t>50+19</t>
  </si>
  <si>
    <t>79+60</t>
  </si>
  <si>
    <t>92+55</t>
  </si>
  <si>
    <t>48" RCP</t>
  </si>
  <si>
    <t>98+33</t>
  </si>
  <si>
    <t>suface gravel hatch</t>
  </si>
  <si>
    <t>subtract extra from change</t>
  </si>
  <si>
    <t>OPINION OF PROBABLE COST</t>
  </si>
  <si>
    <t>Erosion Control</t>
  </si>
  <si>
    <t>Construction Staking</t>
  </si>
  <si>
    <t>Sub-Total</t>
  </si>
  <si>
    <t>Geotechnical and Material Testing</t>
  </si>
  <si>
    <t>Traffic Control</t>
  </si>
  <si>
    <t>TON</t>
  </si>
  <si>
    <t>Mobilization/Demobilization/General Conditions</t>
  </si>
  <si>
    <t>Utility Locates (Hydro Excavation/Ground Penetrating Radar)</t>
  </si>
  <si>
    <t>Clear and Grub Tree</t>
  </si>
  <si>
    <t>Remove Asphalt Pavement and Aggregate Base</t>
  </si>
  <si>
    <t>Remove Concrete Sidewalk and Aggregate Base</t>
  </si>
  <si>
    <t>Place Topsoil</t>
  </si>
  <si>
    <t>CY</t>
  </si>
  <si>
    <t>Strip and Stockpile Topsoil</t>
  </si>
  <si>
    <t>BID ITEM</t>
  </si>
  <si>
    <t>Schematic Design Submittal</t>
  </si>
  <si>
    <t>Landscape Bed (Irrigated)</t>
  </si>
  <si>
    <t>New Landscape Trees</t>
  </si>
  <si>
    <t>Handicap &amp; Parking Striping</t>
  </si>
  <si>
    <t>Remove Concrete Curb and Gutter and Aggregate Base</t>
  </si>
  <si>
    <t>Electrical</t>
  </si>
  <si>
    <t>General Costs</t>
  </si>
  <si>
    <t>Civil</t>
  </si>
  <si>
    <t>Landscape</t>
  </si>
  <si>
    <t>Tranformer/Switch</t>
  </si>
  <si>
    <t xml:space="preserve">Since TerraSite Design has no control over the cost of labor, materials, equipment or services furnished by others, or over the Contractor’s methods of determining prices, or over competitive bidding or market conditions, this opinion of probable construction costs provided herein are made on the basis of experience and qualifications and represent best judgment as an experienced and qualified professional, familiar with the construction industry.  The Engineer cannot and does not guarantee nor warranty, expressed or implied, that proposals, bids, or actual Project or Construction Costs will not vary from opinions of probable cost prepared by him.  All prices are based on a Design-Bid-Build construction project costs for "Full and Open" Competitive bidding. </t>
  </si>
  <si>
    <t>Pedestrian Bench</t>
  </si>
  <si>
    <t>15% Contingency</t>
  </si>
  <si>
    <t>Primary Power UG from sectionalizer  including conc duct</t>
  </si>
  <si>
    <t>Boring underground single instance include MOB/demob</t>
  </si>
  <si>
    <t>Sioux San Memorial</t>
  </si>
  <si>
    <t>Gravel Walking Path</t>
  </si>
  <si>
    <t>Scaffolds</t>
  </si>
  <si>
    <t>Portable Toilet</t>
  </si>
  <si>
    <t>Sweat Lodge (Inipi)</t>
  </si>
  <si>
    <t>Cheek Wall- Masonry Lined Cast in place Concrete</t>
  </si>
  <si>
    <t>Memorial Wall (Marble/ Granite Faced or Like)</t>
  </si>
  <si>
    <t>Interpretive Signage and Wayfinding</t>
  </si>
  <si>
    <t>Design and Engineering</t>
  </si>
  <si>
    <t>Asphalt Pavement (Main Parking)</t>
  </si>
  <si>
    <t>Concrete Curb and Gutter (Main Parking)</t>
  </si>
  <si>
    <t>Concrete Sidewalk (Main Parking)</t>
  </si>
  <si>
    <t>Aggregate Base Course (Main Parking)</t>
  </si>
  <si>
    <t>2" Water Service in Proposed Easement (Optional, Needs to be verified)</t>
  </si>
  <si>
    <t>Adaptive Grass Establishment of Disturbed Areas</t>
  </si>
  <si>
    <t>Colored Paver Plaza Feature for the Medicine Wheel</t>
  </si>
  <si>
    <t>Traditional food and medicinal plantings</t>
  </si>
  <si>
    <t>Sculpture (Family); Commisioned</t>
  </si>
  <si>
    <t>Boulder (inscribed with names of children)</t>
  </si>
  <si>
    <t>New Shrubs and Plantings (surrounding sculpture and plaza)</t>
  </si>
  <si>
    <t>Security Cameras</t>
  </si>
  <si>
    <t>Pedestrian/ Picnic Shelter with cooking area (counters, outlets, etc.)</t>
  </si>
  <si>
    <t>Upgrades to handicapped parking at upper lot.</t>
  </si>
  <si>
    <t>Entrance Gate and Fence at upper Parking Area</t>
  </si>
  <si>
    <t>Sanitary Sewer Allowance (Future ROW)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</si>
</sst>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mm/dd/yy;@"/>
    <numFmt numFmtId="165" formatCode="0.00_)"/>
    <numFmt numFmtId="166" formatCode="_(* #,##0.0_);_(* \(#,##0.0\);_(* &quot;-&quot;??_);_(@_)"/>
    <numFmt numFmtId="167" formatCode="&quot;$&quot;#,##0.00"/>
    <numFmt numFmtId="168" formatCode="0.0"/>
  </numFmts>
  <fonts count="43">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indexed="8"/>
      <name val="Calibri"/>
      <family val="2"/>
    </font>
    <font>
      <sz val="12"/>
      <name val="Helv"/>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1"/>
      <color theme="1"/>
      <name val="Arial"/>
      <family val="2"/>
    </font>
    <font>
      <b/>
      <sz val="11"/>
      <name val="Arial"/>
      <family val="2"/>
    </font>
    <font>
      <b/>
      <sz val="11"/>
      <color indexed="8"/>
      <name val="Arial"/>
      <family val="2"/>
    </font>
    <font>
      <sz val="11"/>
      <name val="Arial"/>
      <family val="2"/>
    </font>
    <font>
      <b/>
      <sz val="11"/>
      <color theme="1"/>
      <name val="Arial"/>
      <family val="2"/>
    </font>
    <font>
      <b/>
      <sz val="11"/>
      <color indexed="8"/>
      <name val="Calibri"/>
      <family val="2"/>
      <scheme val="minor"/>
    </font>
    <font>
      <sz val="11"/>
      <color rgb="FFFF0000"/>
      <name val="Calibri"/>
      <family val="2"/>
      <scheme val="minor"/>
    </font>
    <font>
      <sz val="10"/>
      <name val="Futura Lt BT"/>
      <family val="2"/>
    </font>
    <font>
      <b/>
      <sz val="16"/>
      <color theme="1"/>
      <name val="Futura Lt BT"/>
      <family val="2"/>
    </font>
    <font>
      <sz val="16"/>
      <color theme="1"/>
      <name val="Futura Lt BT"/>
      <family val="2"/>
    </font>
    <font>
      <b/>
      <sz val="16"/>
      <color indexed="8"/>
      <name val="Futura Lt BT"/>
      <family val="2"/>
    </font>
    <font>
      <sz val="12"/>
      <color theme="1"/>
      <name val="Futura Lt BT"/>
      <family val="2"/>
    </font>
    <font>
      <sz val="11"/>
      <color theme="1"/>
      <name val="Futura Lt BT"/>
      <family val="2"/>
    </font>
    <font>
      <sz val="11"/>
      <name val="Futura Lt BT"/>
      <family val="2"/>
    </font>
    <font>
      <b/>
      <sz val="11"/>
      <color theme="1"/>
      <name val="Futura Lt BT"/>
      <family val="2"/>
    </font>
    <font>
      <b/>
      <sz val="12"/>
      <name val="Futura Lt BT"/>
      <family val="2"/>
    </font>
    <font>
      <b/>
      <sz val="12"/>
      <color indexed="8"/>
      <name val="Futura Lt BT"/>
      <family val="2"/>
    </font>
    <font>
      <sz val="11"/>
      <name val="Futura Lt BT"/>
    </font>
    <font>
      <b/>
      <sz val="11"/>
      <color theme="1"/>
      <name val="Futura Lt BT"/>
    </font>
  </fonts>
  <fills count="34">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
      <patternFill patternType="solid">
        <fgColor theme="5" tint="0.79998168889431442"/>
        <bgColor indexed="64"/>
      </patternFill>
    </fill>
    <fill>
      <patternFill patternType="solid">
        <fgColor rgb="FFFFC000"/>
        <bgColor indexed="64"/>
      </patternFill>
    </fill>
    <fill>
      <patternFill patternType="solid">
        <fgColor rgb="FF92D050"/>
        <bgColor indexed="64"/>
      </patternFill>
    </fill>
    <fill>
      <patternFill patternType="solid">
        <fgColor theme="8" tint="0.79998168889431442"/>
        <bgColor indexed="64"/>
      </patternFill>
    </fill>
    <fill>
      <patternFill patternType="solid">
        <fgColor rgb="FF7ECC82"/>
        <bgColor indexed="64"/>
      </patternFill>
    </fill>
    <fill>
      <patternFill patternType="solid">
        <fgColor rgb="FFBE9D88"/>
        <bgColor indexed="64"/>
      </patternFill>
    </fill>
    <fill>
      <patternFill patternType="solid">
        <fgColor theme="0" tint="-4.9989318521683403E-2"/>
        <bgColor indexed="64"/>
      </patternFill>
    </fill>
  </fills>
  <borders count="60">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s>
  <cellStyleXfs count="62">
    <xf numFmtId="0" fontId="0" fillId="0" borderId="0"/>
    <xf numFmtId="43" fontId="1" fillId="0" borderId="0" applyFont="0" applyFill="0" applyBorder="0" applyAlignment="0" applyProtection="0"/>
    <xf numFmtId="0" fontId="4" fillId="10" borderId="0" applyNumberFormat="0" applyBorder="0" applyAlignment="0" applyProtection="0"/>
    <xf numFmtId="44" fontId="4" fillId="0" borderId="0" applyFont="0" applyFill="0" applyBorder="0" applyAlignment="0" applyProtection="0"/>
    <xf numFmtId="165" fontId="5" fillId="0" borderId="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5" fillId="0" borderId="0"/>
    <xf numFmtId="9" fontId="3" fillId="0" borderId="0" applyFont="0" applyFill="0" applyBorder="0" applyAlignment="0" applyProtection="0"/>
    <xf numFmtId="44" fontId="1" fillId="0" borderId="0" applyFont="0" applyFill="0" applyBorder="0" applyAlignment="0" applyProtection="0"/>
    <xf numFmtId="9" fontId="3" fillId="0" borderId="0" applyFont="0" applyFill="0" applyBorder="0" applyAlignment="0" applyProtection="0"/>
    <xf numFmtId="44" fontId="1" fillId="0" borderId="0" applyFont="0" applyFill="0" applyBorder="0" applyAlignment="0" applyProtection="0"/>
    <xf numFmtId="9" fontId="3" fillId="0" borderId="0" applyFont="0" applyFill="0" applyBorder="0" applyAlignment="0" applyProtection="0"/>
    <xf numFmtId="0" fontId="7" fillId="13"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6" fillId="0" borderId="0"/>
    <xf numFmtId="0" fontId="4" fillId="12" borderId="0" applyNumberFormat="0" applyBorder="0" applyAlignment="0" applyProtection="0"/>
    <xf numFmtId="0" fontId="4" fillId="11" borderId="0" applyNumberFormat="0" applyBorder="0" applyAlignment="0" applyProtection="0"/>
    <xf numFmtId="0" fontId="4" fillId="7" borderId="0" applyNumberFormat="0" applyBorder="0" applyAlignment="0" applyProtection="0"/>
    <xf numFmtId="0" fontId="4" fillId="5"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8" fillId="4" borderId="0" applyNumberFormat="0" applyBorder="0" applyAlignment="0" applyProtection="0"/>
    <xf numFmtId="0" fontId="9" fillId="21" borderId="3" applyNumberFormat="0" applyAlignment="0" applyProtection="0"/>
    <xf numFmtId="0" fontId="10" fillId="22" borderId="4" applyNumberFormat="0" applyAlignment="0" applyProtection="0"/>
    <xf numFmtId="44" fontId="6" fillId="0" borderId="0" applyFont="0" applyFill="0" applyBorder="0" applyAlignment="0" applyProtection="0"/>
    <xf numFmtId="0" fontId="11" fillId="0" borderId="0" applyNumberFormat="0" applyFill="0" applyBorder="0" applyAlignment="0" applyProtection="0"/>
    <xf numFmtId="0" fontId="12" fillId="5" borderId="0" applyNumberFormat="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8" borderId="3" applyNumberFormat="0" applyAlignment="0" applyProtection="0"/>
    <xf numFmtId="0" fontId="17" fillId="0" borderId="8" applyNumberFormat="0" applyFill="0" applyAlignment="0" applyProtection="0"/>
    <xf numFmtId="0" fontId="18" fillId="23" borderId="0" applyNumberFormat="0" applyBorder="0" applyAlignment="0" applyProtection="0"/>
    <xf numFmtId="0" fontId="3" fillId="24" borderId="9" applyNumberFormat="0" applyFont="0" applyAlignment="0" applyProtection="0"/>
    <xf numFmtId="0" fontId="19" fillId="21" borderId="10" applyNumberFormat="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0" borderId="0" applyNumberFormat="0" applyFill="0" applyBorder="0" applyAlignment="0" applyProtection="0"/>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cellStyleXfs>
  <cellXfs count="263">
    <xf numFmtId="0" fontId="0" fillId="0" borderId="0" xfId="0"/>
    <xf numFmtId="0" fontId="0" fillId="0" borderId="0" xfId="0"/>
    <xf numFmtId="0" fontId="23" fillId="0" borderId="0" xfId="0" applyFont="1" applyAlignment="1">
      <alignment horizontal="right"/>
    </xf>
    <xf numFmtId="0" fontId="24" fillId="0" borderId="0" xfId="0" applyFont="1"/>
    <xf numFmtId="164" fontId="24" fillId="0" borderId="0" xfId="0" quotePrefix="1" applyNumberFormat="1" applyFont="1" applyAlignment="1">
      <alignment horizontal="left"/>
    </xf>
    <xf numFmtId="0" fontId="26" fillId="0" borderId="0" xfId="0" applyFont="1" applyAlignment="1">
      <alignment horizontal="right"/>
    </xf>
    <xf numFmtId="0" fontId="25" fillId="0" borderId="0" xfId="0" applyFont="1" applyAlignment="1">
      <alignment horizontal="left"/>
    </xf>
    <xf numFmtId="9" fontId="27" fillId="0" borderId="0" xfId="0" applyNumberFormat="1" applyFont="1" applyAlignment="1">
      <alignment horizontal="left"/>
    </xf>
    <xf numFmtId="0" fontId="27" fillId="0" borderId="0" xfId="0" applyFont="1" applyAlignment="1">
      <alignment horizontal="left"/>
    </xf>
    <xf numFmtId="0" fontId="2" fillId="0" borderId="0" xfId="0" applyFont="1"/>
    <xf numFmtId="0" fontId="0" fillId="0" borderId="0" xfId="0" applyAlignment="1">
      <alignment horizontal="right"/>
    </xf>
    <xf numFmtId="0" fontId="0" fillId="0" borderId="0" xfId="0" applyAlignment="1"/>
    <xf numFmtId="0" fontId="0" fillId="0" borderId="0" xfId="0" applyAlignment="1">
      <alignment horizontal="left"/>
    </xf>
    <xf numFmtId="0" fontId="24" fillId="0" borderId="14" xfId="0" applyFont="1" applyBorder="1"/>
    <xf numFmtId="167" fontId="0" fillId="0" borderId="16" xfId="0" applyNumberFormat="1" applyBorder="1" applyAlignment="1">
      <alignment horizontal="center"/>
    </xf>
    <xf numFmtId="0" fontId="0" fillId="0" borderId="16" xfId="0" applyBorder="1" applyAlignment="1">
      <alignment horizontal="center"/>
    </xf>
    <xf numFmtId="0" fontId="0" fillId="0" borderId="16" xfId="0" applyBorder="1"/>
    <xf numFmtId="3" fontId="0" fillId="0" borderId="16" xfId="0" applyNumberFormat="1" applyBorder="1" applyAlignment="1">
      <alignment horizontal="center"/>
    </xf>
    <xf numFmtId="0" fontId="0" fillId="0" borderId="16" xfId="0" applyFill="1" applyBorder="1"/>
    <xf numFmtId="0" fontId="0" fillId="0" borderId="16" xfId="0" applyFill="1" applyBorder="1" applyAlignment="1">
      <alignment horizontal="center"/>
    </xf>
    <xf numFmtId="0" fontId="0" fillId="0" borderId="16" xfId="0" applyBorder="1" applyAlignment="1">
      <alignment horizontal="center"/>
    </xf>
    <xf numFmtId="0" fontId="0" fillId="0" borderId="16" xfId="0" applyBorder="1" applyAlignment="1">
      <alignment horizontal="center" wrapText="1"/>
    </xf>
    <xf numFmtId="0" fontId="0" fillId="0" borderId="16" xfId="0" applyBorder="1" applyAlignment="1">
      <alignment horizontal="center"/>
    </xf>
    <xf numFmtId="0" fontId="0" fillId="0" borderId="0" xfId="0" applyBorder="1"/>
    <xf numFmtId="167" fontId="2" fillId="0" borderId="16" xfId="0" applyNumberFormat="1" applyFont="1" applyFill="1" applyBorder="1" applyAlignment="1">
      <alignment horizontal="center"/>
    </xf>
    <xf numFmtId="0" fontId="24" fillId="0" borderId="32" xfId="0" applyFont="1" applyBorder="1"/>
    <xf numFmtId="0" fontId="28" fillId="0" borderId="15" xfId="0" applyFont="1" applyBorder="1" applyAlignment="1">
      <alignment wrapText="1"/>
    </xf>
    <xf numFmtId="0" fontId="28" fillId="0" borderId="33" xfId="0" applyFont="1" applyBorder="1" applyAlignment="1">
      <alignment wrapText="1"/>
    </xf>
    <xf numFmtId="0" fontId="24" fillId="0" borderId="38" xfId="0" applyFont="1" applyBorder="1"/>
    <xf numFmtId="0" fontId="24" fillId="0" borderId="0" xfId="0" applyFont="1" applyBorder="1"/>
    <xf numFmtId="0" fontId="0" fillId="0" borderId="32" xfId="0" applyBorder="1"/>
    <xf numFmtId="0" fontId="0" fillId="0" borderId="38" xfId="0" applyBorder="1"/>
    <xf numFmtId="0" fontId="0" fillId="0" borderId="40" xfId="0" applyFill="1" applyBorder="1"/>
    <xf numFmtId="0" fontId="0" fillId="0" borderId="19" xfId="0" applyFill="1" applyBorder="1" applyAlignment="1">
      <alignment horizontal="center"/>
    </xf>
    <xf numFmtId="167" fontId="0" fillId="0" borderId="19" xfId="0" applyNumberFormat="1" applyBorder="1" applyAlignment="1">
      <alignment horizontal="center"/>
    </xf>
    <xf numFmtId="0" fontId="0" fillId="0" borderId="19" xfId="0" applyBorder="1" applyAlignment="1">
      <alignment horizontal="center"/>
    </xf>
    <xf numFmtId="3" fontId="0" fillId="0" borderId="19" xfId="0" applyNumberFormat="1" applyBorder="1" applyAlignment="1">
      <alignment horizontal="center"/>
    </xf>
    <xf numFmtId="167" fontId="0" fillId="0" borderId="20" xfId="0" applyNumberFormat="1" applyBorder="1" applyAlignment="1">
      <alignment horizontal="center"/>
    </xf>
    <xf numFmtId="0" fontId="0" fillId="0" borderId="41" xfId="0" applyFill="1" applyBorder="1"/>
    <xf numFmtId="167" fontId="0" fillId="0" borderId="42" xfId="0" applyNumberFormat="1" applyBorder="1" applyAlignment="1">
      <alignment horizontal="center"/>
    </xf>
    <xf numFmtId="167" fontId="0" fillId="0" borderId="0" xfId="0" applyNumberFormat="1" applyBorder="1"/>
    <xf numFmtId="167" fontId="2" fillId="0" borderId="42" xfId="0" applyNumberFormat="1" applyFont="1" applyFill="1" applyBorder="1" applyAlignment="1">
      <alignment horizontal="center"/>
    </xf>
    <xf numFmtId="0" fontId="0" fillId="0" borderId="39" xfId="0" applyBorder="1"/>
    <xf numFmtId="0" fontId="0" fillId="0" borderId="25" xfId="0" applyBorder="1"/>
    <xf numFmtId="167" fontId="2" fillId="0" borderId="21" xfId="0" applyNumberFormat="1" applyFont="1" applyFill="1" applyBorder="1" applyAlignment="1">
      <alignment horizontal="center"/>
    </xf>
    <xf numFmtId="167" fontId="2" fillId="0" borderId="22" xfId="0" applyNumberFormat="1" applyFont="1" applyFill="1" applyBorder="1" applyAlignment="1">
      <alignment horizontal="center"/>
    </xf>
    <xf numFmtId="0" fontId="2" fillId="0" borderId="29" xfId="0" applyFont="1" applyBorder="1" applyAlignment="1">
      <alignment horizontal="right"/>
    </xf>
    <xf numFmtId="167" fontId="2" fillId="0" borderId="47" xfId="0" applyNumberFormat="1" applyFont="1" applyFill="1" applyBorder="1" applyAlignment="1">
      <alignment horizontal="center"/>
    </xf>
    <xf numFmtId="0" fontId="28" fillId="0" borderId="0" xfId="0" applyFont="1" applyBorder="1" applyAlignment="1">
      <alignment wrapText="1"/>
    </xf>
    <xf numFmtId="3" fontId="0" fillId="0" borderId="0" xfId="0" applyNumberFormat="1" applyBorder="1" applyAlignment="1">
      <alignment horizontal="center"/>
    </xf>
    <xf numFmtId="167" fontId="0" fillId="0" borderId="0" xfId="0" applyNumberFormat="1" applyBorder="1" applyAlignment="1">
      <alignment horizontal="center"/>
    </xf>
    <xf numFmtId="167" fontId="2" fillId="0" borderId="0" xfId="0" applyNumberFormat="1" applyFont="1" applyBorder="1" applyAlignment="1">
      <alignment horizontal="center"/>
    </xf>
    <xf numFmtId="167" fontId="2" fillId="0" borderId="0" xfId="0" applyNumberFormat="1" applyFont="1" applyFill="1" applyBorder="1" applyAlignment="1">
      <alignment horizontal="center"/>
    </xf>
    <xf numFmtId="0" fontId="2" fillId="0" borderId="0" xfId="0" applyFont="1" applyBorder="1" applyAlignment="1">
      <alignment horizontal="right"/>
    </xf>
    <xf numFmtId="3" fontId="0" fillId="0" borderId="41" xfId="0" applyNumberFormat="1" applyBorder="1" applyAlignment="1">
      <alignment horizontal="center"/>
    </xf>
    <xf numFmtId="167" fontId="2" fillId="0" borderId="17" xfId="0" applyNumberFormat="1" applyFont="1" applyBorder="1" applyAlignment="1">
      <alignment horizontal="center"/>
    </xf>
    <xf numFmtId="167" fontId="2" fillId="0" borderId="46" xfId="0" applyNumberFormat="1" applyFont="1" applyBorder="1" applyAlignment="1">
      <alignment horizontal="center"/>
    </xf>
    <xf numFmtId="167" fontId="0" fillId="0" borderId="21" xfId="0" applyNumberFormat="1" applyBorder="1" applyAlignment="1">
      <alignment horizontal="center"/>
    </xf>
    <xf numFmtId="0" fontId="0" fillId="0" borderId="21" xfId="0" applyBorder="1" applyAlignment="1">
      <alignment horizontal="center"/>
    </xf>
    <xf numFmtId="167" fontId="0" fillId="0" borderId="22" xfId="0" applyNumberFormat="1" applyBorder="1" applyAlignment="1">
      <alignment horizontal="center"/>
    </xf>
    <xf numFmtId="0" fontId="0" fillId="0" borderId="48" xfId="0" applyFill="1" applyBorder="1"/>
    <xf numFmtId="0" fontId="0" fillId="0" borderId="21" xfId="0" applyFill="1" applyBorder="1" applyAlignment="1">
      <alignment horizontal="center"/>
    </xf>
    <xf numFmtId="3" fontId="0" fillId="0" borderId="40" xfId="0" applyNumberFormat="1" applyBorder="1" applyAlignment="1">
      <alignment horizontal="center"/>
    </xf>
    <xf numFmtId="3" fontId="0" fillId="0" borderId="48" xfId="0" applyNumberFormat="1" applyBorder="1" applyAlignment="1">
      <alignment horizontal="center"/>
    </xf>
    <xf numFmtId="3" fontId="0" fillId="0" borderId="21" xfId="0" applyNumberFormat="1" applyBorder="1" applyAlignment="1">
      <alignment horizontal="center"/>
    </xf>
    <xf numFmtId="0" fontId="2" fillId="0" borderId="32" xfId="0" applyFont="1" applyBorder="1"/>
    <xf numFmtId="0" fontId="2" fillId="0" borderId="39" xfId="0" applyFont="1" applyBorder="1"/>
    <xf numFmtId="167" fontId="2" fillId="0" borderId="30" xfId="0" applyNumberFormat="1" applyFont="1" applyFill="1" applyBorder="1" applyAlignment="1">
      <alignment horizontal="center"/>
    </xf>
    <xf numFmtId="0" fontId="0" fillId="0" borderId="16" xfId="0" applyBorder="1" applyAlignment="1">
      <alignment horizontal="center"/>
    </xf>
    <xf numFmtId="0" fontId="0" fillId="0" borderId="16"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19" xfId="0" applyFill="1" applyBorder="1"/>
    <xf numFmtId="0" fontId="0" fillId="0" borderId="20" xfId="0" applyFill="1" applyBorder="1"/>
    <xf numFmtId="0" fontId="0" fillId="0" borderId="42" xfId="0" applyFill="1" applyBorder="1"/>
    <xf numFmtId="0" fontId="0" fillId="0" borderId="21" xfId="0" applyFill="1" applyBorder="1"/>
    <xf numFmtId="0" fontId="0" fillId="0" borderId="22" xfId="0" applyFill="1" applyBorder="1"/>
    <xf numFmtId="167" fontId="0" fillId="0" borderId="0" xfId="0" applyNumberFormat="1"/>
    <xf numFmtId="0" fontId="0" fillId="0" borderId="0" xfId="0" applyAlignment="1">
      <alignment horizontal="center"/>
    </xf>
    <xf numFmtId="0" fontId="0" fillId="0" borderId="0" xfId="0" applyFill="1" applyBorder="1"/>
    <xf numFmtId="0" fontId="0" fillId="0" borderId="16" xfId="0" applyBorder="1" applyAlignment="1"/>
    <xf numFmtId="0" fontId="0" fillId="0" borderId="0" xfId="0" applyBorder="1" applyAlignment="1">
      <alignment horizontal="center"/>
    </xf>
    <xf numFmtId="0" fontId="0" fillId="0" borderId="53" xfId="0" applyBorder="1" applyAlignment="1"/>
    <xf numFmtId="0" fontId="0" fillId="0" borderId="0" xfId="0" applyBorder="1" applyAlignment="1"/>
    <xf numFmtId="0" fontId="0" fillId="0" borderId="0" xfId="0" applyBorder="1" applyAlignment="1">
      <alignment vertical="center"/>
    </xf>
    <xf numFmtId="0" fontId="0" fillId="0" borderId="50" xfId="0" applyFill="1" applyBorder="1" applyAlignment="1">
      <alignment horizontal="center"/>
    </xf>
    <xf numFmtId="0" fontId="0" fillId="26" borderId="16" xfId="0" applyFill="1" applyBorder="1" applyAlignment="1"/>
    <xf numFmtId="168" fontId="0" fillId="0" borderId="16" xfId="0" applyNumberFormat="1" applyBorder="1"/>
    <xf numFmtId="0" fontId="0" fillId="0" borderId="54" xfId="0" applyBorder="1"/>
    <xf numFmtId="0" fontId="0" fillId="0" borderId="0" xfId="0" applyAlignment="1">
      <alignment vertical="center"/>
    </xf>
    <xf numFmtId="9" fontId="0" fillId="26" borderId="16" xfId="0" applyNumberFormat="1" applyFill="1" applyBorder="1" applyAlignment="1">
      <alignment horizontal="left"/>
    </xf>
    <xf numFmtId="0" fontId="0" fillId="27" borderId="16" xfId="0" applyFill="1" applyBorder="1"/>
    <xf numFmtId="0" fontId="0" fillId="27" borderId="16" xfId="0" applyFill="1" applyBorder="1" applyAlignment="1">
      <alignment horizontal="center"/>
    </xf>
    <xf numFmtId="0" fontId="0" fillId="0" borderId="0" xfId="0" applyBorder="1" applyAlignment="1">
      <alignment horizontal="center" vertical="center"/>
    </xf>
    <xf numFmtId="0" fontId="0" fillId="26" borderId="0" xfId="0" applyFill="1" applyBorder="1" applyAlignment="1">
      <alignment horizontal="center"/>
    </xf>
    <xf numFmtId="0" fontId="0" fillId="26" borderId="16" xfId="0" applyFill="1" applyBorder="1" applyAlignment="1">
      <alignment horizontal="center"/>
    </xf>
    <xf numFmtId="0" fontId="0" fillId="0" borderId="50" xfId="0" applyBorder="1" applyAlignment="1">
      <alignment horizontal="center"/>
    </xf>
    <xf numFmtId="0" fontId="0" fillId="0" borderId="52" xfId="0" applyBorder="1" applyAlignment="1">
      <alignment horizontal="center"/>
    </xf>
    <xf numFmtId="1" fontId="0" fillId="0" borderId="16" xfId="0" applyNumberFormat="1" applyFill="1" applyBorder="1" applyAlignment="1">
      <alignment horizontal="center"/>
    </xf>
    <xf numFmtId="0" fontId="0" fillId="30" borderId="0" xfId="0" applyFill="1"/>
    <xf numFmtId="0" fontId="0" fillId="0" borderId="0" xfId="0" applyFill="1" applyAlignment="1">
      <alignment horizontal="center"/>
    </xf>
    <xf numFmtId="0" fontId="0" fillId="28" borderId="0" xfId="0" applyFill="1" applyAlignment="1">
      <alignment horizontal="center"/>
    </xf>
    <xf numFmtId="0" fontId="0" fillId="0" borderId="56" xfId="0" applyBorder="1" applyAlignment="1">
      <alignment horizontal="center"/>
    </xf>
    <xf numFmtId="0" fontId="0" fillId="0" borderId="0" xfId="0"/>
    <xf numFmtId="0" fontId="0" fillId="0" borderId="16" xfId="0" applyBorder="1" applyAlignment="1">
      <alignment horizontal="center"/>
    </xf>
    <xf numFmtId="0" fontId="0" fillId="0" borderId="16" xfId="0" applyBorder="1"/>
    <xf numFmtId="0" fontId="0" fillId="0" borderId="16" xfId="0" applyFill="1" applyBorder="1"/>
    <xf numFmtId="0" fontId="0" fillId="0" borderId="16" xfId="0" applyFill="1" applyBorder="1" applyAlignment="1">
      <alignment horizontal="center"/>
    </xf>
    <xf numFmtId="0" fontId="0" fillId="0" borderId="0" xfId="0" applyBorder="1"/>
    <xf numFmtId="0" fontId="0" fillId="0" borderId="0" xfId="0" applyFill="1" applyBorder="1"/>
    <xf numFmtId="0" fontId="0" fillId="28" borderId="0" xfId="0" applyFill="1"/>
    <xf numFmtId="0" fontId="0" fillId="29" borderId="0" xfId="0" applyFill="1"/>
    <xf numFmtId="0" fontId="0" fillId="0" borderId="0" xfId="0" applyFill="1"/>
    <xf numFmtId="0" fontId="2" fillId="25" borderId="0" xfId="0" applyFont="1" applyFill="1"/>
    <xf numFmtId="0" fontId="2" fillId="0" borderId="16" xfId="0" applyFont="1" applyFill="1" applyBorder="1" applyAlignment="1">
      <alignment horizontal="right"/>
    </xf>
    <xf numFmtId="0" fontId="2" fillId="0" borderId="16" xfId="0" applyFont="1" applyBorder="1" applyAlignment="1">
      <alignment horizontal="right"/>
    </xf>
    <xf numFmtId="0" fontId="2" fillId="28" borderId="0" xfId="0" applyFont="1" applyFill="1" applyBorder="1"/>
    <xf numFmtId="0" fontId="0" fillId="28" borderId="16" xfId="0" applyFill="1" applyBorder="1"/>
    <xf numFmtId="0" fontId="2" fillId="29" borderId="16" xfId="0" applyFont="1" applyFill="1" applyBorder="1"/>
    <xf numFmtId="0" fontId="2" fillId="28" borderId="16" xfId="0" applyFont="1" applyFill="1" applyBorder="1" applyAlignment="1">
      <alignment horizontal="right"/>
    </xf>
    <xf numFmtId="0" fontId="0" fillId="29" borderId="16" xfId="0" applyFill="1" applyBorder="1"/>
    <xf numFmtId="0" fontId="2" fillId="0" borderId="16" xfId="0" applyFont="1" applyBorder="1"/>
    <xf numFmtId="0" fontId="2" fillId="0" borderId="16" xfId="0" applyFont="1" applyFill="1" applyBorder="1"/>
    <xf numFmtId="0" fontId="2" fillId="28" borderId="16" xfId="0" applyFont="1" applyFill="1" applyBorder="1"/>
    <xf numFmtId="0" fontId="0" fillId="0" borderId="0" xfId="0" applyAlignment="1">
      <alignment horizontal="center"/>
    </xf>
    <xf numFmtId="1" fontId="0" fillId="0" borderId="0" xfId="0" applyNumberFormat="1"/>
    <xf numFmtId="0" fontId="2" fillId="28" borderId="0" xfId="0" applyFont="1" applyFill="1"/>
    <xf numFmtId="0" fontId="2" fillId="29" borderId="0" xfId="0" applyFont="1" applyFill="1"/>
    <xf numFmtId="0" fontId="0" fillId="0" borderId="55" xfId="0" applyBorder="1" applyAlignment="1"/>
    <xf numFmtId="0" fontId="0" fillId="0" borderId="50" xfId="0" applyBorder="1" applyAlignment="1"/>
    <xf numFmtId="0" fontId="0" fillId="26" borderId="53" xfId="0" applyFill="1" applyBorder="1" applyAlignment="1">
      <alignment horizontal="center"/>
    </xf>
    <xf numFmtId="0" fontId="0" fillId="0" borderId="0" xfId="0" applyFont="1" applyBorder="1"/>
    <xf numFmtId="0" fontId="3" fillId="0" borderId="0" xfId="0" applyFont="1" applyBorder="1"/>
    <xf numFmtId="0" fontId="3" fillId="0" borderId="0" xfId="0" applyFont="1" applyFill="1" applyBorder="1"/>
    <xf numFmtId="3" fontId="0" fillId="0" borderId="0" xfId="0" applyNumberFormat="1" applyFont="1" applyFill="1" applyBorder="1" applyAlignment="1">
      <alignment horizontal="center"/>
    </xf>
    <xf numFmtId="0" fontId="31" fillId="0" borderId="0" xfId="0" applyNumberFormat="1" applyFont="1" applyBorder="1" applyAlignment="1">
      <alignment wrapText="1"/>
    </xf>
    <xf numFmtId="164" fontId="0" fillId="0" borderId="0" xfId="0" quotePrefix="1" applyNumberFormat="1" applyFont="1" applyBorder="1" applyAlignment="1">
      <alignment horizontal="left"/>
    </xf>
    <xf numFmtId="0" fontId="29" fillId="0" borderId="0" xfId="0" applyFont="1" applyBorder="1" applyAlignment="1">
      <alignment horizontal="right"/>
    </xf>
    <xf numFmtId="0" fontId="36" fillId="0" borderId="41" xfId="0" applyFont="1" applyFill="1" applyBorder="1"/>
    <xf numFmtId="0" fontId="37" fillId="0" borderId="16" xfId="0" applyFont="1" applyFill="1" applyBorder="1" applyAlignment="1">
      <alignment horizontal="center"/>
    </xf>
    <xf numFmtId="167" fontId="37" fillId="0" borderId="16" xfId="0" applyNumberFormat="1" applyFont="1" applyFill="1" applyBorder="1" applyAlignment="1">
      <alignment horizontal="center"/>
    </xf>
    <xf numFmtId="0" fontId="37" fillId="0" borderId="16" xfId="0" applyFont="1" applyFill="1" applyBorder="1" applyAlignment="1">
      <alignment horizontal="center" vertical="center"/>
    </xf>
    <xf numFmtId="167" fontId="37" fillId="0" borderId="16" xfId="0" applyNumberFormat="1" applyFont="1" applyFill="1" applyBorder="1" applyAlignment="1">
      <alignment horizontal="center" vertical="center"/>
    </xf>
    <xf numFmtId="0" fontId="36" fillId="0" borderId="32" xfId="0" applyFont="1" applyBorder="1"/>
    <xf numFmtId="0" fontId="36" fillId="0" borderId="0" xfId="0" applyFont="1" applyBorder="1"/>
    <xf numFmtId="0" fontId="36" fillId="0" borderId="41" xfId="0" applyFont="1" applyBorder="1"/>
    <xf numFmtId="0" fontId="36" fillId="0" borderId="39" xfId="0" applyFont="1" applyBorder="1"/>
    <xf numFmtId="0" fontId="36" fillId="0" borderId="25" xfId="0" applyFont="1" applyBorder="1"/>
    <xf numFmtId="167" fontId="30" fillId="0" borderId="0" xfId="0" applyNumberFormat="1" applyFont="1" applyFill="1" applyBorder="1" applyAlignment="1">
      <alignment horizontal="center"/>
    </xf>
    <xf numFmtId="0" fontId="36" fillId="0" borderId="16" xfId="0" applyFont="1" applyBorder="1" applyAlignment="1">
      <alignment horizontal="center"/>
    </xf>
    <xf numFmtId="167" fontId="36" fillId="0" borderId="42" xfId="0" applyNumberFormat="1" applyFont="1" applyFill="1" applyBorder="1" applyAlignment="1">
      <alignment horizontal="center"/>
    </xf>
    <xf numFmtId="0" fontId="36" fillId="0" borderId="41" xfId="0" applyFont="1" applyFill="1" applyBorder="1" applyAlignment="1"/>
    <xf numFmtId="167" fontId="36" fillId="0" borderId="42" xfId="0" applyNumberFormat="1" applyFont="1" applyFill="1" applyBorder="1" applyAlignment="1">
      <alignment horizontal="center" vertical="center"/>
    </xf>
    <xf numFmtId="167" fontId="38" fillId="0" borderId="20" xfId="0" applyNumberFormat="1" applyFont="1" applyBorder="1" applyAlignment="1">
      <alignment horizontal="center"/>
    </xf>
    <xf numFmtId="167" fontId="38" fillId="0" borderId="42" xfId="0" applyNumberFormat="1" applyFont="1" applyFill="1" applyBorder="1" applyAlignment="1">
      <alignment horizontal="center"/>
    </xf>
    <xf numFmtId="167" fontId="38" fillId="0" borderId="22" xfId="0" applyNumberFormat="1" applyFont="1" applyFill="1" applyBorder="1" applyAlignment="1">
      <alignment horizontal="center"/>
    </xf>
    <xf numFmtId="1" fontId="37" fillId="0" borderId="16" xfId="0" applyNumberFormat="1" applyFont="1" applyFill="1" applyBorder="1" applyAlignment="1">
      <alignment horizontal="center"/>
    </xf>
    <xf numFmtId="0" fontId="36" fillId="0" borderId="16" xfId="0" applyFont="1" applyFill="1" applyBorder="1" applyAlignment="1">
      <alignment horizontal="center"/>
    </xf>
    <xf numFmtId="0" fontId="37" fillId="0" borderId="16" xfId="0" applyFont="1" applyBorder="1" applyAlignment="1">
      <alignment horizontal="center"/>
    </xf>
    <xf numFmtId="1" fontId="37" fillId="0" borderId="16" xfId="0" applyNumberFormat="1" applyFont="1" applyBorder="1" applyAlignment="1">
      <alignment horizontal="center"/>
    </xf>
    <xf numFmtId="167" fontId="37" fillId="0" borderId="16" xfId="0" applyNumberFormat="1" applyFont="1" applyBorder="1" applyAlignment="1">
      <alignment horizontal="center"/>
    </xf>
    <xf numFmtId="167" fontId="36" fillId="0" borderId="42" xfId="0" applyNumberFormat="1" applyFont="1" applyBorder="1" applyAlignment="1">
      <alignment horizontal="center"/>
    </xf>
    <xf numFmtId="167" fontId="30" fillId="0" borderId="0" xfId="0" applyNumberFormat="1" applyFont="1" applyAlignment="1">
      <alignment horizontal="center"/>
    </xf>
    <xf numFmtId="3" fontId="0" fillId="0" borderId="0" xfId="0" applyNumberFormat="1" applyAlignment="1">
      <alignment horizontal="center"/>
    </xf>
    <xf numFmtId="0" fontId="38" fillId="0" borderId="31" xfId="0" applyFont="1" applyBorder="1" applyAlignment="1">
      <alignment horizontal="right"/>
    </xf>
    <xf numFmtId="0" fontId="38" fillId="0" borderId="37" xfId="0" applyFont="1" applyBorder="1" applyAlignment="1">
      <alignment horizontal="right"/>
    </xf>
    <xf numFmtId="0" fontId="38" fillId="0" borderId="39" xfId="0" applyFont="1" applyBorder="1" applyAlignment="1">
      <alignment horizontal="right"/>
    </xf>
    <xf numFmtId="0" fontId="38" fillId="0" borderId="58" xfId="0" applyFont="1" applyBorder="1" applyAlignment="1">
      <alignment horizontal="right"/>
    </xf>
    <xf numFmtId="167" fontId="36" fillId="0" borderId="42" xfId="0" applyNumberFormat="1" applyFont="1" applyBorder="1" applyAlignment="1">
      <alignment horizontal="center" vertical="center"/>
    </xf>
    <xf numFmtId="0" fontId="37" fillId="0" borderId="0" xfId="0" applyFont="1" applyBorder="1" applyAlignment="1">
      <alignment horizontal="center"/>
    </xf>
    <xf numFmtId="0" fontId="36" fillId="0" borderId="0" xfId="0" applyFont="1" applyBorder="1" applyAlignment="1">
      <alignment horizontal="center"/>
    </xf>
    <xf numFmtId="167" fontId="37" fillId="0" borderId="0" xfId="0" applyNumberFormat="1" applyFont="1" applyBorder="1" applyAlignment="1">
      <alignment horizontal="center"/>
    </xf>
    <xf numFmtId="167" fontId="36" fillId="0" borderId="46" xfId="0" applyNumberFormat="1" applyFont="1" applyBorder="1" applyAlignment="1">
      <alignment horizontal="center" vertical="center"/>
    </xf>
    <xf numFmtId="167" fontId="37" fillId="33" borderId="16" xfId="0" applyNumberFormat="1" applyFont="1" applyFill="1" applyBorder="1" applyAlignment="1">
      <alignment horizontal="center"/>
    </xf>
    <xf numFmtId="0" fontId="41" fillId="26" borderId="41" xfId="0" applyFont="1" applyFill="1" applyBorder="1" applyAlignment="1">
      <alignment horizontal="left" vertical="center" wrapText="1"/>
    </xf>
    <xf numFmtId="0" fontId="41" fillId="26" borderId="16" xfId="0" applyFont="1" applyFill="1" applyBorder="1" applyAlignment="1">
      <alignment horizontal="center" vertical="center" wrapText="1"/>
    </xf>
    <xf numFmtId="0" fontId="36" fillId="0" borderId="41" xfId="0" applyFont="1" applyFill="1" applyBorder="1" applyAlignment="1">
      <alignment wrapText="1"/>
    </xf>
    <xf numFmtId="0" fontId="42" fillId="0" borderId="16" xfId="0" applyFont="1" applyFill="1" applyBorder="1" applyAlignment="1">
      <alignment horizontal="center"/>
    </xf>
    <xf numFmtId="0" fontId="32" fillId="0" borderId="0" xfId="0" applyFont="1" applyBorder="1" applyAlignment="1">
      <alignment horizontal="center" vertical="center"/>
    </xf>
    <xf numFmtId="0" fontId="33" fillId="0" borderId="0" xfId="0" applyFont="1" applyBorder="1" applyAlignment="1">
      <alignment horizontal="center" vertical="center"/>
    </xf>
    <xf numFmtId="0" fontId="34" fillId="0" borderId="0" xfId="0" applyFont="1" applyBorder="1" applyAlignment="1">
      <alignment horizontal="center"/>
    </xf>
    <xf numFmtId="0" fontId="40" fillId="0" borderId="0" xfId="0" applyFont="1" applyBorder="1" applyAlignment="1">
      <alignment horizontal="center"/>
    </xf>
    <xf numFmtId="9" fontId="35" fillId="0" borderId="0" xfId="0" applyNumberFormat="1" applyFont="1" applyBorder="1" applyAlignment="1">
      <alignment horizontal="center"/>
    </xf>
    <xf numFmtId="0" fontId="35" fillId="0" borderId="0" xfId="0" applyFont="1" applyBorder="1" applyAlignment="1">
      <alignment horizontal="center"/>
    </xf>
    <xf numFmtId="164" fontId="35" fillId="0" borderId="0" xfId="0" quotePrefix="1" applyNumberFormat="1" applyFont="1" applyBorder="1" applyAlignment="1">
      <alignment horizontal="center"/>
    </xf>
    <xf numFmtId="0" fontId="38" fillId="32" borderId="41" xfId="0" applyFont="1" applyFill="1" applyBorder="1" applyAlignment="1">
      <alignment horizontal="left" vertical="center" wrapText="1"/>
    </xf>
    <xf numFmtId="0" fontId="38" fillId="32" borderId="16" xfId="0" applyFont="1" applyFill="1" applyBorder="1" applyAlignment="1">
      <alignment horizontal="left" vertical="center" wrapText="1"/>
    </xf>
    <xf numFmtId="0" fontId="38" fillId="32" borderId="42" xfId="0" applyFont="1" applyFill="1" applyBorder="1" applyAlignment="1">
      <alignment horizontal="left" vertical="center" wrapText="1"/>
    </xf>
    <xf numFmtId="0" fontId="31" fillId="0" borderId="31" xfId="0" applyNumberFormat="1" applyFont="1" applyBorder="1" applyAlignment="1">
      <alignment horizontal="left" wrapText="1"/>
    </xf>
    <xf numFmtId="0" fontId="31" fillId="0" borderId="24" xfId="0" applyNumberFormat="1" applyFont="1" applyBorder="1" applyAlignment="1">
      <alignment horizontal="left" wrapText="1"/>
    </xf>
    <xf numFmtId="0" fontId="31" fillId="0" borderId="37" xfId="0" applyNumberFormat="1" applyFont="1" applyBorder="1" applyAlignment="1">
      <alignment horizontal="left" wrapText="1"/>
    </xf>
    <xf numFmtId="0" fontId="31" fillId="0" borderId="32" xfId="0" applyNumberFormat="1" applyFont="1" applyBorder="1" applyAlignment="1">
      <alignment horizontal="left" wrapText="1"/>
    </xf>
    <xf numFmtId="0" fontId="31" fillId="0" borderId="0" xfId="0" applyNumberFormat="1" applyFont="1" applyBorder="1" applyAlignment="1">
      <alignment horizontal="left" wrapText="1"/>
    </xf>
    <xf numFmtId="0" fontId="31" fillId="0" borderId="38" xfId="0" applyNumberFormat="1" applyFont="1" applyBorder="1" applyAlignment="1">
      <alignment horizontal="left" wrapText="1"/>
    </xf>
    <xf numFmtId="0" fontId="31" fillId="0" borderId="39" xfId="0" applyNumberFormat="1" applyFont="1" applyBorder="1" applyAlignment="1">
      <alignment horizontal="left" wrapText="1"/>
    </xf>
    <xf numFmtId="0" fontId="31" fillId="0" borderId="25" xfId="0" applyNumberFormat="1" applyFont="1" applyBorder="1" applyAlignment="1">
      <alignment horizontal="left" wrapText="1"/>
    </xf>
    <xf numFmtId="0" fontId="31" fillId="0" borderId="58" xfId="0" applyNumberFormat="1" applyFont="1" applyBorder="1" applyAlignment="1">
      <alignment horizontal="left" wrapText="1"/>
    </xf>
    <xf numFmtId="0" fontId="39" fillId="31" borderId="40" xfId="0" applyNumberFormat="1" applyFont="1" applyFill="1" applyBorder="1" applyAlignment="1" applyProtection="1">
      <alignment horizontal="left" vertical="center" wrapText="1"/>
    </xf>
    <xf numFmtId="0" fontId="39" fillId="31" borderId="57" xfId="0" applyNumberFormat="1" applyFont="1" applyFill="1" applyBorder="1" applyAlignment="1" applyProtection="1">
      <alignment horizontal="left" vertical="center" wrapText="1"/>
    </xf>
    <xf numFmtId="0" fontId="39" fillId="31" borderId="19" xfId="0" applyNumberFormat="1" applyFont="1" applyFill="1" applyBorder="1" applyAlignment="1" applyProtection="1">
      <alignment horizontal="center" vertical="center" wrapText="1"/>
    </xf>
    <xf numFmtId="0" fontId="39" fillId="31" borderId="54" xfId="0" applyNumberFormat="1" applyFont="1" applyFill="1" applyBorder="1" applyAlignment="1" applyProtection="1">
      <alignment horizontal="center" vertical="center" wrapText="1"/>
    </xf>
    <xf numFmtId="44" fontId="39" fillId="31" borderId="19" xfId="3" applyFont="1" applyFill="1" applyBorder="1" applyAlignment="1" applyProtection="1">
      <alignment horizontal="center" vertical="center" wrapText="1"/>
    </xf>
    <xf numFmtId="44" fontId="39" fillId="31" borderId="54" xfId="3" applyFont="1" applyFill="1" applyBorder="1" applyAlignment="1" applyProtection="1">
      <alignment horizontal="center" vertical="center" wrapText="1"/>
    </xf>
    <xf numFmtId="0" fontId="39" fillId="31" borderId="20" xfId="0" applyNumberFormat="1" applyFont="1" applyFill="1" applyBorder="1" applyAlignment="1" applyProtection="1">
      <alignment horizontal="center" vertical="center" wrapText="1"/>
      <protection locked="0"/>
    </xf>
    <xf numFmtId="0" fontId="39" fillId="31" borderId="59" xfId="0" applyNumberFormat="1" applyFont="1" applyFill="1" applyBorder="1" applyAlignment="1" applyProtection="1">
      <alignment horizontal="center" vertical="center" wrapText="1"/>
      <protection locked="0"/>
    </xf>
    <xf numFmtId="166" fontId="39" fillId="31" borderId="1" xfId="1" applyNumberFormat="1" applyFont="1" applyFill="1" applyBorder="1" applyAlignment="1" applyProtection="1">
      <alignment horizontal="center" wrapText="1"/>
    </xf>
    <xf numFmtId="166" fontId="39" fillId="31" borderId="17" xfId="1" applyNumberFormat="1" applyFont="1" applyFill="1" applyBorder="1" applyAlignment="1" applyProtection="1">
      <alignment horizontal="center" wrapText="1"/>
    </xf>
    <xf numFmtId="0" fontId="38" fillId="0" borderId="32" xfId="0" applyFont="1" applyBorder="1" applyAlignment="1">
      <alignment horizontal="right"/>
    </xf>
    <xf numFmtId="0" fontId="38" fillId="0" borderId="38" xfId="0" applyFont="1" applyBorder="1" applyAlignment="1">
      <alignment horizontal="right"/>
    </xf>
    <xf numFmtId="0" fontId="28" fillId="0" borderId="0" xfId="0" applyFont="1" applyBorder="1" applyAlignment="1">
      <alignment horizontal="center"/>
    </xf>
    <xf numFmtId="0" fontId="25" fillId="2" borderId="23" xfId="0" applyNumberFormat="1" applyFont="1" applyFill="1" applyBorder="1" applyAlignment="1" applyProtection="1">
      <alignment horizontal="center" vertical="center" wrapText="1"/>
      <protection locked="0"/>
    </xf>
    <xf numFmtId="0" fontId="25" fillId="2" borderId="44" xfId="0" applyNumberFormat="1" applyFont="1" applyFill="1" applyBorder="1" applyAlignment="1" applyProtection="1">
      <alignment horizontal="center" vertical="center" wrapText="1"/>
      <protection locked="0"/>
    </xf>
    <xf numFmtId="0" fontId="28" fillId="0" borderId="0" xfId="0" applyFont="1" applyBorder="1" applyAlignment="1">
      <alignment horizontal="center" wrapText="1"/>
    </xf>
    <xf numFmtId="0" fontId="28" fillId="0" borderId="29" xfId="0" applyFont="1" applyBorder="1" applyAlignment="1">
      <alignment horizontal="center"/>
    </xf>
    <xf numFmtId="0" fontId="28" fillId="0" borderId="30" xfId="0" applyFont="1" applyBorder="1" applyAlignment="1">
      <alignment horizontal="center"/>
    </xf>
    <xf numFmtId="0" fontId="28" fillId="0" borderId="36" xfId="0" applyFont="1" applyBorder="1" applyAlignment="1">
      <alignment horizontal="center"/>
    </xf>
    <xf numFmtId="0" fontId="25" fillId="2" borderId="18" xfId="0" applyNumberFormat="1" applyFont="1" applyFill="1" applyBorder="1" applyAlignment="1" applyProtection="1">
      <alignment horizontal="left" vertical="center" wrapText="1"/>
    </xf>
    <xf numFmtId="0" fontId="25" fillId="2" borderId="43" xfId="0" applyNumberFormat="1" applyFont="1" applyFill="1" applyBorder="1" applyAlignment="1" applyProtection="1">
      <alignment horizontal="left" vertical="center" wrapText="1"/>
    </xf>
    <xf numFmtId="0" fontId="25" fillId="2" borderId="1" xfId="0" applyNumberFormat="1" applyFont="1" applyFill="1" applyBorder="1" applyAlignment="1" applyProtection="1">
      <alignment horizontal="center" vertical="center" wrapText="1"/>
    </xf>
    <xf numFmtId="0" fontId="25" fillId="2" borderId="15" xfId="0" applyNumberFormat="1" applyFont="1" applyFill="1" applyBorder="1" applyAlignment="1" applyProtection="1">
      <alignment horizontal="center" vertical="center" wrapText="1"/>
    </xf>
    <xf numFmtId="44" fontId="25" fillId="2" borderId="2" xfId="3" applyFont="1" applyFill="1" applyBorder="1" applyAlignment="1" applyProtection="1">
      <alignment horizontal="center" vertical="center" wrapText="1"/>
    </xf>
    <xf numFmtId="44" fontId="25" fillId="2" borderId="33" xfId="3" applyFont="1" applyFill="1" applyBorder="1" applyAlignment="1" applyProtection="1">
      <alignment horizontal="center" vertical="center" wrapText="1"/>
    </xf>
    <xf numFmtId="166" fontId="25" fillId="2" borderId="23" xfId="1" applyNumberFormat="1" applyFont="1" applyFill="1" applyBorder="1" applyAlignment="1" applyProtection="1">
      <alignment horizontal="center" vertical="center" wrapText="1"/>
    </xf>
    <xf numFmtId="166" fontId="25" fillId="2" borderId="44" xfId="1" applyNumberFormat="1" applyFont="1" applyFill="1" applyBorder="1" applyAlignment="1" applyProtection="1">
      <alignment horizontal="center" vertical="center" wrapText="1"/>
    </xf>
    <xf numFmtId="0" fontId="25" fillId="2" borderId="37" xfId="0" applyNumberFormat="1" applyFont="1" applyFill="1" applyBorder="1" applyAlignment="1" applyProtection="1">
      <alignment horizontal="center" vertical="center" wrapText="1"/>
      <protection locked="0"/>
    </xf>
    <xf numFmtId="0" fontId="25" fillId="2" borderId="38" xfId="0" applyNumberFormat="1" applyFont="1" applyFill="1" applyBorder="1" applyAlignment="1" applyProtection="1">
      <alignment horizontal="center" vertical="center" wrapText="1"/>
      <protection locked="0"/>
    </xf>
    <xf numFmtId="166" fontId="25" fillId="2" borderId="0" xfId="1" applyNumberFormat="1" applyFont="1" applyFill="1" applyBorder="1" applyAlignment="1" applyProtection="1">
      <alignment horizontal="center" vertical="center" wrapText="1"/>
    </xf>
    <xf numFmtId="0" fontId="25" fillId="2" borderId="0" xfId="0" applyNumberFormat="1" applyFont="1" applyFill="1" applyBorder="1" applyAlignment="1" applyProtection="1">
      <alignment horizontal="center" vertical="center" wrapText="1"/>
      <protection locked="0"/>
    </xf>
    <xf numFmtId="166" fontId="25" fillId="2" borderId="24" xfId="1" applyNumberFormat="1" applyFont="1" applyFill="1" applyBorder="1" applyAlignment="1" applyProtection="1">
      <alignment horizontal="center" vertical="center" wrapText="1"/>
    </xf>
    <xf numFmtId="0" fontId="25" fillId="2" borderId="31" xfId="0" applyNumberFormat="1" applyFont="1" applyFill="1" applyBorder="1" applyAlignment="1" applyProtection="1">
      <alignment horizontal="center" vertical="center" wrapText="1"/>
      <protection locked="0"/>
    </xf>
    <xf numFmtId="0" fontId="25" fillId="2" borderId="32" xfId="0" applyNumberFormat="1" applyFont="1" applyFill="1" applyBorder="1" applyAlignment="1" applyProtection="1">
      <alignment horizontal="center" vertical="center" wrapText="1"/>
      <protection locked="0"/>
    </xf>
    <xf numFmtId="166" fontId="25" fillId="2" borderId="31" xfId="1" applyNumberFormat="1" applyFont="1" applyFill="1" applyBorder="1" applyAlignment="1" applyProtection="1">
      <alignment horizontal="center" vertical="center" wrapText="1"/>
    </xf>
    <xf numFmtId="166" fontId="25" fillId="2" borderId="32" xfId="1" applyNumberFormat="1" applyFont="1" applyFill="1" applyBorder="1" applyAlignment="1" applyProtection="1">
      <alignment horizontal="center" vertical="center" wrapText="1"/>
    </xf>
    <xf numFmtId="0" fontId="25" fillId="2" borderId="27" xfId="0" applyNumberFormat="1" applyFont="1" applyFill="1" applyBorder="1" applyAlignment="1" applyProtection="1">
      <alignment horizontal="center" vertical="center" wrapText="1"/>
      <protection locked="0"/>
    </xf>
    <xf numFmtId="0" fontId="25" fillId="2" borderId="45" xfId="0" applyNumberFormat="1" applyFont="1" applyFill="1" applyBorder="1" applyAlignment="1" applyProtection="1">
      <alignment horizontal="center" vertical="center" wrapText="1"/>
      <protection locked="0"/>
    </xf>
    <xf numFmtId="0" fontId="28" fillId="0" borderId="34" xfId="0" applyFont="1" applyBorder="1" applyAlignment="1">
      <alignment horizontal="center" wrapText="1"/>
    </xf>
    <xf numFmtId="0" fontId="28" fillId="0" borderId="35" xfId="0" applyFont="1" applyBorder="1" applyAlignment="1">
      <alignment horizontal="center" wrapText="1"/>
    </xf>
    <xf numFmtId="166" fontId="25" fillId="2" borderId="26" xfId="1" applyNumberFormat="1" applyFont="1" applyFill="1" applyBorder="1" applyAlignment="1" applyProtection="1">
      <alignment horizontal="center" vertical="center" wrapText="1"/>
    </xf>
    <xf numFmtId="166" fontId="25" fillId="2" borderId="28" xfId="1" applyNumberFormat="1" applyFont="1" applyFill="1" applyBorder="1" applyAlignment="1" applyProtection="1">
      <alignment horizontal="center" vertical="center" wrapText="1"/>
    </xf>
    <xf numFmtId="166" fontId="25" fillId="2" borderId="37" xfId="1" applyNumberFormat="1" applyFont="1" applyFill="1" applyBorder="1" applyAlignment="1" applyProtection="1">
      <alignment horizontal="center" vertical="center" wrapText="1"/>
    </xf>
    <xf numFmtId="166" fontId="25" fillId="2" borderId="38" xfId="1" applyNumberFormat="1" applyFont="1" applyFill="1" applyBorder="1" applyAlignment="1" applyProtection="1">
      <alignment horizontal="center" vertical="center" wrapText="1"/>
    </xf>
    <xf numFmtId="0" fontId="25" fillId="2" borderId="24" xfId="0" applyNumberFormat="1" applyFont="1" applyFill="1" applyBorder="1" applyAlignment="1" applyProtection="1">
      <alignment horizontal="center" vertical="center" wrapText="1"/>
      <protection locked="0"/>
    </xf>
    <xf numFmtId="44" fontId="25" fillId="2" borderId="12" xfId="3" applyFont="1" applyFill="1" applyBorder="1" applyAlignment="1" applyProtection="1">
      <alignment horizontal="center" vertical="center" wrapText="1"/>
    </xf>
    <xf numFmtId="44" fontId="25" fillId="2" borderId="13" xfId="3" applyFont="1" applyFill="1" applyBorder="1" applyAlignment="1" applyProtection="1">
      <alignment horizontal="center" vertical="center" wrapText="1"/>
    </xf>
    <xf numFmtId="0" fontId="0" fillId="0" borderId="53" xfId="0" applyBorder="1" applyAlignment="1">
      <alignment horizontal="center"/>
    </xf>
    <xf numFmtId="0" fontId="0" fillId="0" borderId="50" xfId="0" applyBorder="1" applyAlignment="1">
      <alignment horizontal="center"/>
    </xf>
    <xf numFmtId="0" fontId="0" fillId="0" borderId="55" xfId="0" applyBorder="1" applyAlignment="1">
      <alignment horizontal="center"/>
    </xf>
    <xf numFmtId="0" fontId="0" fillId="26" borderId="53" xfId="0" applyFill="1" applyBorder="1" applyAlignment="1">
      <alignment horizontal="center"/>
    </xf>
    <xf numFmtId="0" fontId="0" fillId="26" borderId="50" xfId="0" applyFill="1" applyBorder="1" applyAlignment="1">
      <alignment horizontal="center"/>
    </xf>
    <xf numFmtId="0" fontId="0" fillId="0" borderId="16" xfId="0" applyBorder="1" applyAlignment="1">
      <alignment horizontal="center"/>
    </xf>
    <xf numFmtId="0" fontId="0" fillId="26" borderId="16" xfId="0" applyFill="1" applyBorder="1" applyAlignment="1">
      <alignment horizontal="center"/>
    </xf>
    <xf numFmtId="0" fontId="0" fillId="0" borderId="16" xfId="0" applyBorder="1" applyAlignment="1">
      <alignment horizontal="center" vertical="center"/>
    </xf>
    <xf numFmtId="9" fontId="0" fillId="0" borderId="50" xfId="0" applyNumberFormat="1" applyBorder="1" applyAlignment="1">
      <alignment horizontal="center"/>
    </xf>
    <xf numFmtId="0" fontId="0" fillId="0" borderId="50" xfId="0" applyBorder="1" applyAlignment="1">
      <alignment horizontal="center" vertical="center"/>
    </xf>
    <xf numFmtId="1" fontId="0" fillId="0" borderId="16" xfId="0" applyNumberFormat="1" applyBorder="1" applyAlignment="1">
      <alignment horizontal="center"/>
    </xf>
    <xf numFmtId="0" fontId="0" fillId="0" borderId="16" xfId="0" applyFill="1" applyBorder="1" applyAlignment="1">
      <alignment horizontal="center"/>
    </xf>
    <xf numFmtId="0" fontId="0" fillId="27" borderId="16" xfId="0" applyFill="1" applyBorder="1" applyAlignment="1">
      <alignment horizontal="center"/>
    </xf>
    <xf numFmtId="0" fontId="0" fillId="25" borderId="16" xfId="0" applyFill="1" applyBorder="1" applyAlignment="1">
      <alignment horizontal="center"/>
    </xf>
    <xf numFmtId="0" fontId="0" fillId="0" borderId="52" xfId="0" applyBorder="1" applyAlignment="1">
      <alignment horizontal="center"/>
    </xf>
    <xf numFmtId="0" fontId="0" fillId="0" borderId="17" xfId="0" applyBorder="1" applyAlignment="1">
      <alignment horizontal="center"/>
    </xf>
    <xf numFmtId="0" fontId="0" fillId="0" borderId="56" xfId="0" applyBorder="1" applyAlignment="1">
      <alignment horizontal="center"/>
    </xf>
    <xf numFmtId="0" fontId="0" fillId="0" borderId="28" xfId="0" applyBorder="1" applyAlignment="1">
      <alignment horizontal="center"/>
    </xf>
  </cellXfs>
  <cellStyles count="62">
    <cellStyle name="20% - Accent1 2" xfId="28" xr:uid="{00000000-0005-0000-0000-000000000000}"/>
    <cellStyle name="20% - Accent2 2" xfId="26" xr:uid="{00000000-0005-0000-0000-000001000000}"/>
    <cellStyle name="20% - Accent3 2" xfId="24" xr:uid="{00000000-0005-0000-0000-000002000000}"/>
    <cellStyle name="20% - Accent4 2" xfId="19" xr:uid="{00000000-0005-0000-0000-000003000000}"/>
    <cellStyle name="20% - Accent5 2" xfId="23" xr:uid="{00000000-0005-0000-0000-000004000000}"/>
    <cellStyle name="20% - Accent6 2" xfId="18" xr:uid="{00000000-0005-0000-0000-000005000000}"/>
    <cellStyle name="40% - Accent1 2" xfId="17" xr:uid="{00000000-0005-0000-0000-000006000000}"/>
    <cellStyle name="40% - Accent2 2" xfId="2" xr:uid="{00000000-0005-0000-0000-000007000000}"/>
    <cellStyle name="40% - Accent3 2" xfId="22" xr:uid="{00000000-0005-0000-0000-000008000000}"/>
    <cellStyle name="40% - Accent4 2" xfId="27" xr:uid="{00000000-0005-0000-0000-000009000000}"/>
    <cellStyle name="40% - Accent5 2" xfId="25" xr:uid="{00000000-0005-0000-0000-00000A000000}"/>
    <cellStyle name="40% - Accent6 2" xfId="21" xr:uid="{00000000-0005-0000-0000-00000B000000}"/>
    <cellStyle name="60% - Accent1 2" xfId="16" xr:uid="{00000000-0005-0000-0000-00000C000000}"/>
    <cellStyle name="60% - Accent2 2" xfId="29" xr:uid="{00000000-0005-0000-0000-00000D000000}"/>
    <cellStyle name="60% - Accent3 2" xfId="30" xr:uid="{00000000-0005-0000-0000-00000E000000}"/>
    <cellStyle name="60% - Accent4 2" xfId="31" xr:uid="{00000000-0005-0000-0000-00000F000000}"/>
    <cellStyle name="60% - Accent5 2" xfId="32" xr:uid="{00000000-0005-0000-0000-000010000000}"/>
    <cellStyle name="60% - Accent6 2" xfId="33" xr:uid="{00000000-0005-0000-0000-000011000000}"/>
    <cellStyle name="Accent1 2" xfId="34" xr:uid="{00000000-0005-0000-0000-000012000000}"/>
    <cellStyle name="Accent2 2" xfId="35" xr:uid="{00000000-0005-0000-0000-000013000000}"/>
    <cellStyle name="Accent3 2" xfId="36" xr:uid="{00000000-0005-0000-0000-000014000000}"/>
    <cellStyle name="Accent4 2" xfId="37" xr:uid="{00000000-0005-0000-0000-000015000000}"/>
    <cellStyle name="Accent5 2" xfId="38" xr:uid="{00000000-0005-0000-0000-000016000000}"/>
    <cellStyle name="Accent6 2" xfId="39" xr:uid="{00000000-0005-0000-0000-000017000000}"/>
    <cellStyle name="Bad 2" xfId="40" xr:uid="{00000000-0005-0000-0000-000019000000}"/>
    <cellStyle name="Calculation 2" xfId="41" xr:uid="{00000000-0005-0000-0000-00001A000000}"/>
    <cellStyle name="Check Cell 2" xfId="42" xr:uid="{00000000-0005-0000-0000-00001B000000}"/>
    <cellStyle name="Comma" xfId="1" builtinId="3"/>
    <cellStyle name="Currency 2" xfId="8" xr:uid="{00000000-0005-0000-0000-00001D000000}"/>
    <cellStyle name="Currency 2 2" xfId="12" xr:uid="{00000000-0005-0000-0000-00001E000000}"/>
    <cellStyle name="Currency 2 3" xfId="14" xr:uid="{00000000-0005-0000-0000-00001F000000}"/>
    <cellStyle name="Currency 2 4" xfId="43" xr:uid="{00000000-0005-0000-0000-000020000000}"/>
    <cellStyle name="Currency 2 4 2" xfId="61" xr:uid="{00000000-0005-0000-0000-000021000000}"/>
    <cellStyle name="Currency 2 4 3" xfId="59" xr:uid="{00000000-0005-0000-0000-000022000000}"/>
    <cellStyle name="Currency 3" xfId="9" xr:uid="{00000000-0005-0000-0000-000023000000}"/>
    <cellStyle name="Currency 4" xfId="3" xr:uid="{00000000-0005-0000-0000-000024000000}"/>
    <cellStyle name="Explanatory Text 2" xfId="44" xr:uid="{00000000-0005-0000-0000-000025000000}"/>
    <cellStyle name="Good 2" xfId="45" xr:uid="{00000000-0005-0000-0000-000026000000}"/>
    <cellStyle name="Heading 1 2" xfId="46" xr:uid="{00000000-0005-0000-0000-000027000000}"/>
    <cellStyle name="Heading 2 2" xfId="47" xr:uid="{00000000-0005-0000-0000-000028000000}"/>
    <cellStyle name="Heading 3 2" xfId="48" xr:uid="{00000000-0005-0000-0000-000029000000}"/>
    <cellStyle name="Heading 4 2" xfId="49" xr:uid="{00000000-0005-0000-0000-00002A000000}"/>
    <cellStyle name="Input 2" xfId="50" xr:uid="{00000000-0005-0000-0000-00002B000000}"/>
    <cellStyle name="Linked Cell 2" xfId="51" xr:uid="{00000000-0005-0000-0000-00002C000000}"/>
    <cellStyle name="Neutral 2" xfId="52" xr:uid="{00000000-0005-0000-0000-00002D000000}"/>
    <cellStyle name="Normal" xfId="0" builtinId="0"/>
    <cellStyle name="Normal 2" xfId="4" xr:uid="{00000000-0005-0000-0000-00002F000000}"/>
    <cellStyle name="Normal 2 2" xfId="20" xr:uid="{00000000-0005-0000-0000-000030000000}"/>
    <cellStyle name="Normal 2 2 2" xfId="60" xr:uid="{00000000-0005-0000-0000-000031000000}"/>
    <cellStyle name="Normal 2 2 3" xfId="58" xr:uid="{00000000-0005-0000-0000-000032000000}"/>
    <cellStyle name="Normal 4" xfId="10" xr:uid="{00000000-0005-0000-0000-000033000000}"/>
    <cellStyle name="Note 2" xfId="53" xr:uid="{00000000-0005-0000-0000-000034000000}"/>
    <cellStyle name="Output 2" xfId="54" xr:uid="{00000000-0005-0000-0000-000035000000}"/>
    <cellStyle name="Percent 2" xfId="6" xr:uid="{00000000-0005-0000-0000-000036000000}"/>
    <cellStyle name="Percent 2 2" xfId="11" xr:uid="{00000000-0005-0000-0000-000037000000}"/>
    <cellStyle name="Percent 2 3" xfId="13" xr:uid="{00000000-0005-0000-0000-000038000000}"/>
    <cellStyle name="Percent 2 4" xfId="15" xr:uid="{00000000-0005-0000-0000-000039000000}"/>
    <cellStyle name="Percent 3" xfId="7" xr:uid="{00000000-0005-0000-0000-00003A000000}"/>
    <cellStyle name="Percent 4" xfId="5" xr:uid="{00000000-0005-0000-0000-00003B000000}"/>
    <cellStyle name="Title 2" xfId="55" xr:uid="{00000000-0005-0000-0000-00003C000000}"/>
    <cellStyle name="Total 2" xfId="56" xr:uid="{00000000-0005-0000-0000-00003D000000}"/>
    <cellStyle name="Warning Text 2" xfId="57" xr:uid="{00000000-0005-0000-0000-00003E000000}"/>
  </cellStyles>
  <dxfs count="0"/>
  <tableStyles count="0" defaultTableStyle="TableStyleMedium2" defaultPivotStyle="PivotStyleLight16"/>
  <colors>
    <mruColors>
      <color rgb="FF2996D3"/>
      <color rgb="FF7ECC82"/>
      <color rgb="FFBE9D88"/>
      <color rgb="FF936A51"/>
      <color rgb="FF44AD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289671</xdr:colOff>
      <xdr:row>1</xdr:row>
      <xdr:rowOff>12887</xdr:rowOff>
    </xdr:from>
    <xdr:to>
      <xdr:col>0</xdr:col>
      <xdr:colOff>1657350</xdr:colOff>
      <xdr:row>8</xdr:row>
      <xdr:rowOff>42845</xdr:rowOff>
    </xdr:to>
    <xdr:pic>
      <xdr:nvPicPr>
        <xdr:cNvPr id="4" name="Picture 3">
          <a:extLst>
            <a:ext uri="{FF2B5EF4-FFF2-40B4-BE49-F238E27FC236}">
              <a16:creationId xmlns:a16="http://schemas.microsoft.com/office/drawing/2014/main" id="{A139057F-C865-42E6-83F5-FE520F97CC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9671" y="384362"/>
          <a:ext cx="1367679" cy="14396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3"/>
  <sheetViews>
    <sheetView tabSelected="1" view="pageBreakPreview" zoomScaleNormal="70" zoomScaleSheetLayoutView="100" workbookViewId="0">
      <selection activeCell="C17" sqref="C17"/>
    </sheetView>
  </sheetViews>
  <sheetFormatPr defaultRowHeight="15"/>
  <cols>
    <col min="1" max="1" width="58" style="104" bestFit="1" customWidth="1"/>
    <col min="2" max="2" width="6.85546875" style="104" bestFit="1" customWidth="1"/>
    <col min="3" max="3" width="14.7109375" style="104" customWidth="1"/>
    <col min="4" max="4" width="15.28515625" style="104" bestFit="1" customWidth="1"/>
    <col min="5" max="5" width="19.85546875" style="104" bestFit="1" customWidth="1"/>
    <col min="6" max="11" width="19.7109375" style="104" customWidth="1"/>
    <col min="12" max="12" width="23.7109375" style="104" customWidth="1"/>
    <col min="13" max="22" width="19.7109375" style="104" customWidth="1"/>
    <col min="23" max="23" width="19.85546875" style="104" bestFit="1" customWidth="1"/>
    <col min="24" max="27" width="19.7109375" style="104" customWidth="1"/>
    <col min="28" max="16384" width="9.140625" style="104"/>
  </cols>
  <sheetData>
    <row r="1" spans="1:9">
      <c r="A1" s="109"/>
      <c r="B1" s="109"/>
      <c r="C1" s="109"/>
      <c r="D1" s="145"/>
      <c r="E1" s="109"/>
    </row>
    <row r="2" spans="1:9" ht="14.45" customHeight="1">
      <c r="A2" s="109"/>
      <c r="B2" s="109"/>
      <c r="C2" s="109"/>
      <c r="D2" s="109"/>
      <c r="E2" s="109"/>
    </row>
    <row r="3" spans="1:9" ht="14.45" customHeight="1">
      <c r="A3" s="109"/>
      <c r="B3" s="109"/>
      <c r="C3" s="109"/>
      <c r="D3" s="109"/>
      <c r="E3" s="109"/>
    </row>
    <row r="4" spans="1:9" ht="14.25" customHeight="1">
      <c r="A4" s="179" t="s">
        <v>185</v>
      </c>
      <c r="B4" s="180"/>
      <c r="C4" s="180"/>
      <c r="D4" s="180"/>
      <c r="E4" s="180"/>
    </row>
    <row r="5" spans="1:9" ht="16.5" customHeight="1">
      <c r="A5" s="181" t="s">
        <v>216</v>
      </c>
      <c r="B5" s="181"/>
      <c r="C5" s="181"/>
      <c r="D5" s="181"/>
      <c r="E5" s="181"/>
    </row>
    <row r="6" spans="1:9" ht="17.25" customHeight="1">
      <c r="A6" s="182"/>
      <c r="B6" s="182"/>
      <c r="C6" s="182"/>
      <c r="D6" s="182"/>
      <c r="E6" s="182"/>
    </row>
    <row r="7" spans="1:9" ht="13.5" customHeight="1">
      <c r="A7" s="183" t="s">
        <v>201</v>
      </c>
      <c r="B7" s="184"/>
      <c r="C7" s="184"/>
      <c r="D7" s="184"/>
      <c r="E7" s="184"/>
    </row>
    <row r="8" spans="1:9" ht="21" customHeight="1">
      <c r="A8" s="185">
        <v>44096</v>
      </c>
      <c r="B8" s="185"/>
      <c r="C8" s="185"/>
      <c r="D8" s="185"/>
      <c r="E8" s="185"/>
    </row>
    <row r="9" spans="1:9" ht="15.75" thickBot="1">
      <c r="A9" s="138"/>
      <c r="B9" s="137"/>
      <c r="C9" s="137"/>
      <c r="D9" s="132"/>
      <c r="E9" s="132"/>
    </row>
    <row r="10" spans="1:9" ht="15.6" customHeight="1">
      <c r="A10" s="198" t="s">
        <v>200</v>
      </c>
      <c r="B10" s="200" t="s">
        <v>6</v>
      </c>
      <c r="C10" s="206" t="s">
        <v>5</v>
      </c>
      <c r="D10" s="202" t="s">
        <v>7</v>
      </c>
      <c r="E10" s="204" t="s">
        <v>8</v>
      </c>
    </row>
    <row r="11" spans="1:9" ht="15.6" customHeight="1">
      <c r="A11" s="199"/>
      <c r="B11" s="201"/>
      <c r="C11" s="207"/>
      <c r="D11" s="203"/>
      <c r="E11" s="205"/>
    </row>
    <row r="12" spans="1:9" ht="15.6" customHeight="1">
      <c r="A12" s="186" t="s">
        <v>207</v>
      </c>
      <c r="B12" s="187"/>
      <c r="C12" s="187"/>
      <c r="D12" s="187"/>
      <c r="E12" s="188"/>
      <c r="F12" s="109"/>
    </row>
    <row r="13" spans="1:9" ht="14.45" customHeight="1">
      <c r="A13" s="175" t="s">
        <v>224</v>
      </c>
      <c r="B13" s="176" t="s">
        <v>42</v>
      </c>
      <c r="C13" s="176">
        <v>1</v>
      </c>
      <c r="D13" s="141">
        <v>65000</v>
      </c>
      <c r="E13" s="153">
        <f>C13*D13</f>
        <v>65000</v>
      </c>
      <c r="F13" s="109"/>
    </row>
    <row r="14" spans="1:9" ht="14.45" customHeight="1">
      <c r="A14" s="139" t="s">
        <v>192</v>
      </c>
      <c r="B14" s="140" t="s">
        <v>42</v>
      </c>
      <c r="C14" s="150">
        <v>1</v>
      </c>
      <c r="D14" s="141">
        <v>50000</v>
      </c>
      <c r="E14" s="151">
        <f>C14*D14</f>
        <v>50000</v>
      </c>
      <c r="F14" s="109"/>
    </row>
    <row r="15" spans="1:9" ht="15" customHeight="1">
      <c r="A15" s="139" t="s">
        <v>190</v>
      </c>
      <c r="B15" s="140" t="s">
        <v>42</v>
      </c>
      <c r="C15" s="150">
        <v>1</v>
      </c>
      <c r="D15" s="141">
        <v>5000</v>
      </c>
      <c r="E15" s="151">
        <f>C15*D15</f>
        <v>5000</v>
      </c>
      <c r="F15" s="109"/>
    </row>
    <row r="16" spans="1:9" ht="15" customHeight="1">
      <c r="A16" s="139" t="s">
        <v>187</v>
      </c>
      <c r="B16" s="140" t="s">
        <v>42</v>
      </c>
      <c r="C16" s="150">
        <v>1</v>
      </c>
      <c r="D16" s="141">
        <v>5000</v>
      </c>
      <c r="E16" s="151">
        <f t="shared" ref="E16:E26" si="0">C16*D16</f>
        <v>5000</v>
      </c>
      <c r="F16" s="109"/>
      <c r="G16" s="109"/>
      <c r="H16" s="109"/>
      <c r="I16" s="109"/>
    </row>
    <row r="17" spans="1:9" ht="15" customHeight="1">
      <c r="A17" s="139" t="s">
        <v>189</v>
      </c>
      <c r="B17" s="140" t="s">
        <v>42</v>
      </c>
      <c r="C17" s="150">
        <v>1</v>
      </c>
      <c r="D17" s="141">
        <v>5000</v>
      </c>
      <c r="E17" s="151">
        <f t="shared" ref="E17" si="1">C17*D17</f>
        <v>5000</v>
      </c>
      <c r="F17" s="109"/>
      <c r="G17" s="109"/>
      <c r="H17" s="109"/>
      <c r="I17" s="109"/>
    </row>
    <row r="18" spans="1:9">
      <c r="A18" s="139" t="s">
        <v>193</v>
      </c>
      <c r="B18" s="140" t="s">
        <v>42</v>
      </c>
      <c r="C18" s="150">
        <v>1</v>
      </c>
      <c r="D18" s="141">
        <v>5000</v>
      </c>
      <c r="E18" s="151">
        <f t="shared" si="0"/>
        <v>5000</v>
      </c>
      <c r="F18" s="109"/>
      <c r="G18" s="109"/>
      <c r="H18" s="109"/>
      <c r="I18" s="109"/>
    </row>
    <row r="19" spans="1:9" ht="15" customHeight="1">
      <c r="A19" s="139" t="s">
        <v>186</v>
      </c>
      <c r="B19" s="140" t="s">
        <v>42</v>
      </c>
      <c r="C19" s="150">
        <v>1</v>
      </c>
      <c r="D19" s="141">
        <v>15000</v>
      </c>
      <c r="E19" s="151">
        <f t="shared" si="0"/>
        <v>15000</v>
      </c>
      <c r="F19" s="109"/>
      <c r="G19" s="109"/>
      <c r="H19" s="109"/>
      <c r="I19" s="109"/>
    </row>
    <row r="20" spans="1:9" ht="15" customHeight="1">
      <c r="A20" s="186" t="s">
        <v>208</v>
      </c>
      <c r="B20" s="187"/>
      <c r="C20" s="187"/>
      <c r="D20" s="187"/>
      <c r="E20" s="188"/>
      <c r="F20" s="109"/>
      <c r="G20" s="109"/>
      <c r="H20" s="109"/>
      <c r="I20" s="109"/>
    </row>
    <row r="21" spans="1:9" ht="14.45" customHeight="1">
      <c r="A21" s="139" t="s">
        <v>194</v>
      </c>
      <c r="B21" s="140" t="s">
        <v>40</v>
      </c>
      <c r="C21" s="150">
        <v>4</v>
      </c>
      <c r="D21" s="141">
        <v>2000</v>
      </c>
      <c r="E21" s="151">
        <f t="shared" si="0"/>
        <v>8000</v>
      </c>
      <c r="F21" s="109"/>
    </row>
    <row r="22" spans="1:9" ht="15" customHeight="1">
      <c r="A22" s="152" t="s">
        <v>205</v>
      </c>
      <c r="B22" s="142" t="s">
        <v>39</v>
      </c>
      <c r="C22" s="150">
        <v>65</v>
      </c>
      <c r="D22" s="143">
        <v>5</v>
      </c>
      <c r="E22" s="153">
        <f t="shared" si="0"/>
        <v>325</v>
      </c>
      <c r="F22" s="109"/>
      <c r="G22" s="109"/>
      <c r="H22" s="109"/>
      <c r="I22" s="109"/>
    </row>
    <row r="23" spans="1:9" ht="15" customHeight="1">
      <c r="A23" s="152" t="s">
        <v>195</v>
      </c>
      <c r="B23" s="142" t="s">
        <v>41</v>
      </c>
      <c r="C23" s="150">
        <v>300</v>
      </c>
      <c r="D23" s="143">
        <v>0.6</v>
      </c>
      <c r="E23" s="153">
        <f t="shared" si="0"/>
        <v>180</v>
      </c>
      <c r="F23" s="109"/>
      <c r="G23" s="109"/>
      <c r="H23" s="109"/>
      <c r="I23" s="109"/>
    </row>
    <row r="24" spans="1:9" ht="15" customHeight="1">
      <c r="A24" s="152" t="s">
        <v>196</v>
      </c>
      <c r="B24" s="142" t="s">
        <v>41</v>
      </c>
      <c r="C24" s="140">
        <v>600</v>
      </c>
      <c r="D24" s="143">
        <v>1</v>
      </c>
      <c r="E24" s="153">
        <f t="shared" ref="E24:E25" si="2">C24*D24</f>
        <v>600</v>
      </c>
      <c r="F24" s="109"/>
      <c r="G24" s="109"/>
      <c r="H24" s="109"/>
      <c r="I24" s="109"/>
    </row>
    <row r="25" spans="1:9" ht="15" customHeight="1">
      <c r="A25" s="152" t="s">
        <v>238</v>
      </c>
      <c r="B25" s="142" t="s">
        <v>42</v>
      </c>
      <c r="C25" s="140">
        <v>1</v>
      </c>
      <c r="D25" s="143">
        <v>50000</v>
      </c>
      <c r="E25" s="153">
        <f t="shared" si="2"/>
        <v>50000</v>
      </c>
      <c r="F25" s="109"/>
      <c r="G25" s="109"/>
      <c r="H25" s="109"/>
      <c r="I25" s="109"/>
    </row>
    <row r="26" spans="1:9" ht="15" customHeight="1">
      <c r="A26" s="139" t="s">
        <v>223</v>
      </c>
      <c r="B26" s="140" t="s">
        <v>42</v>
      </c>
      <c r="C26" s="150">
        <v>1</v>
      </c>
      <c r="D26" s="141">
        <v>75000</v>
      </c>
      <c r="E26" s="153">
        <f t="shared" si="0"/>
        <v>75000</v>
      </c>
      <c r="F26" s="109"/>
      <c r="G26" s="109"/>
      <c r="H26" s="109"/>
      <c r="I26" s="109"/>
    </row>
    <row r="27" spans="1:9" ht="15" customHeight="1">
      <c r="A27" s="139" t="s">
        <v>199</v>
      </c>
      <c r="B27" s="140" t="s">
        <v>198</v>
      </c>
      <c r="C27" s="150">
        <f>ROUNDUP((207908*0.333)/27,-2)</f>
        <v>2600</v>
      </c>
      <c r="D27" s="141">
        <v>9</v>
      </c>
      <c r="E27" s="153">
        <f t="shared" ref="E27" si="3">C27*D27</f>
        <v>23400</v>
      </c>
      <c r="F27" s="109"/>
      <c r="G27" s="109"/>
      <c r="H27" s="109"/>
      <c r="I27" s="109"/>
    </row>
    <row r="28" spans="1:9" ht="15" customHeight="1">
      <c r="A28" s="139" t="s">
        <v>225</v>
      </c>
      <c r="B28" s="140" t="s">
        <v>191</v>
      </c>
      <c r="C28" s="158">
        <f>ROUNDUP((41337*0.42*150/2000),-1)</f>
        <v>1310</v>
      </c>
      <c r="D28" s="141">
        <v>130</v>
      </c>
      <c r="E28" s="151">
        <f t="shared" ref="E28:E53" si="4">C28*D28</f>
        <v>170300</v>
      </c>
      <c r="F28" s="109"/>
      <c r="G28" s="149"/>
      <c r="H28" s="135"/>
      <c r="I28" s="109"/>
    </row>
    <row r="29" spans="1:9" ht="15" customHeight="1">
      <c r="A29" s="139" t="s">
        <v>226</v>
      </c>
      <c r="B29" s="140" t="s">
        <v>39</v>
      </c>
      <c r="C29" s="158">
        <v>2021</v>
      </c>
      <c r="D29" s="141">
        <v>35</v>
      </c>
      <c r="E29" s="151">
        <f t="shared" si="4"/>
        <v>70735</v>
      </c>
      <c r="F29" s="109"/>
      <c r="G29" s="149"/>
      <c r="H29" s="135"/>
      <c r="I29" s="109"/>
    </row>
    <row r="30" spans="1:9" ht="15" customHeight="1">
      <c r="A30" s="139" t="s">
        <v>227</v>
      </c>
      <c r="B30" s="140" t="s">
        <v>41</v>
      </c>
      <c r="C30" s="158">
        <v>3920</v>
      </c>
      <c r="D30" s="141">
        <v>8</v>
      </c>
      <c r="E30" s="151">
        <f t="shared" si="4"/>
        <v>31360</v>
      </c>
      <c r="F30" s="109"/>
      <c r="G30" s="149"/>
      <c r="H30" s="135"/>
      <c r="I30" s="109"/>
    </row>
    <row r="31" spans="1:9" ht="15" customHeight="1">
      <c r="A31" s="139" t="s">
        <v>228</v>
      </c>
      <c r="B31" s="140" t="s">
        <v>191</v>
      </c>
      <c r="C31" s="158">
        <f>ROUNDUP((C29*3*0.333+(C28*2000/145/0.42)*0.5+C30*0.17)*145/2000,-1)</f>
        <v>1760</v>
      </c>
      <c r="D31" s="141">
        <v>28</v>
      </c>
      <c r="E31" s="151">
        <f t="shared" si="4"/>
        <v>49280</v>
      </c>
      <c r="F31" s="109"/>
      <c r="G31" s="149"/>
      <c r="H31" s="135"/>
      <c r="I31" s="109"/>
    </row>
    <row r="32" spans="1:9" ht="15" customHeight="1">
      <c r="A32" s="139" t="s">
        <v>240</v>
      </c>
      <c r="B32" s="140" t="s">
        <v>39</v>
      </c>
      <c r="C32" s="178">
        <v>500</v>
      </c>
      <c r="D32" s="141">
        <v>60</v>
      </c>
      <c r="E32" s="151">
        <f t="shared" si="4"/>
        <v>30000</v>
      </c>
      <c r="F32" s="109"/>
      <c r="G32" s="149"/>
      <c r="H32" s="135"/>
      <c r="I32" s="109"/>
    </row>
    <row r="33" spans="1:9" ht="18.75" customHeight="1">
      <c r="A33" s="139" t="s">
        <v>231</v>
      </c>
      <c r="B33" s="140" t="s">
        <v>41</v>
      </c>
      <c r="C33" s="158">
        <v>180</v>
      </c>
      <c r="D33" s="174">
        <v>25</v>
      </c>
      <c r="E33" s="151">
        <f>C33*D33</f>
        <v>4500</v>
      </c>
      <c r="F33" s="109"/>
      <c r="G33" s="149"/>
      <c r="H33" s="135"/>
      <c r="I33" s="109"/>
    </row>
    <row r="34" spans="1:9" ht="18.75" customHeight="1">
      <c r="A34" s="177" t="s">
        <v>229</v>
      </c>
      <c r="B34" s="140" t="s">
        <v>39</v>
      </c>
      <c r="C34" s="158">
        <v>700</v>
      </c>
      <c r="D34" s="174">
        <v>50</v>
      </c>
      <c r="E34" s="151">
        <f>C34*D34</f>
        <v>35000</v>
      </c>
      <c r="F34" s="109"/>
      <c r="G34" s="149"/>
      <c r="H34" s="135"/>
      <c r="I34" s="109"/>
    </row>
    <row r="35" spans="1:9" ht="14.45" customHeight="1">
      <c r="A35" s="139" t="s">
        <v>204</v>
      </c>
      <c r="B35" s="140" t="s">
        <v>42</v>
      </c>
      <c r="C35" s="150">
        <v>1</v>
      </c>
      <c r="D35" s="141">
        <v>500</v>
      </c>
      <c r="E35" s="151">
        <f t="shared" si="4"/>
        <v>500</v>
      </c>
      <c r="F35" s="109"/>
    </row>
    <row r="36" spans="1:9" ht="14.45" customHeight="1">
      <c r="A36" s="186" t="s">
        <v>209</v>
      </c>
      <c r="B36" s="187"/>
      <c r="C36" s="187"/>
      <c r="D36" s="187"/>
      <c r="E36" s="188"/>
      <c r="F36" s="109"/>
    </row>
    <row r="37" spans="1:9" ht="15" customHeight="1">
      <c r="A37" s="139" t="s">
        <v>197</v>
      </c>
      <c r="B37" s="140" t="s">
        <v>198</v>
      </c>
      <c r="C37" s="150">
        <f>ROUNDUP((C38*0.333/27),-1)</f>
        <v>2060</v>
      </c>
      <c r="D37" s="141">
        <v>8</v>
      </c>
      <c r="E37" s="151">
        <f t="shared" ref="E37" si="5">C37*D37</f>
        <v>16480</v>
      </c>
      <c r="F37" s="109"/>
      <c r="G37" s="149"/>
      <c r="H37" s="135"/>
      <c r="I37" s="109"/>
    </row>
    <row r="38" spans="1:9" ht="15" customHeight="1">
      <c r="A38" s="139" t="s">
        <v>230</v>
      </c>
      <c r="B38" s="140" t="s">
        <v>41</v>
      </c>
      <c r="C38" s="158">
        <f>ROUNDUP(167370-201-(4*25)-256-(7*32),-2)</f>
        <v>166600</v>
      </c>
      <c r="D38" s="141">
        <v>0.35</v>
      </c>
      <c r="E38" s="151">
        <f t="shared" si="4"/>
        <v>58309.999999999993</v>
      </c>
      <c r="F38" s="109"/>
      <c r="G38" s="149"/>
      <c r="H38" s="135"/>
      <c r="I38" s="109"/>
    </row>
    <row r="39" spans="1:9" ht="15" customHeight="1">
      <c r="A39" s="139" t="s">
        <v>202</v>
      </c>
      <c r="B39" s="140" t="s">
        <v>41</v>
      </c>
      <c r="C39" s="157">
        <v>110</v>
      </c>
      <c r="D39" s="141">
        <v>1.75</v>
      </c>
      <c r="E39" s="151">
        <f t="shared" si="4"/>
        <v>192.5</v>
      </c>
      <c r="F39" s="109"/>
      <c r="G39" s="149"/>
      <c r="H39" s="135"/>
      <c r="I39" s="109"/>
    </row>
    <row r="40" spans="1:9" ht="15" customHeight="1">
      <c r="A40" s="139" t="s">
        <v>235</v>
      </c>
      <c r="B40" s="140" t="s">
        <v>40</v>
      </c>
      <c r="C40" s="157">
        <v>100</v>
      </c>
      <c r="D40" s="141">
        <v>65</v>
      </c>
      <c r="E40" s="151">
        <f t="shared" si="4"/>
        <v>6500</v>
      </c>
      <c r="F40" s="109"/>
      <c r="G40" s="149"/>
      <c r="H40" s="135"/>
      <c r="I40" s="109"/>
    </row>
    <row r="41" spans="1:9" ht="15" customHeight="1">
      <c r="A41" s="139" t="s">
        <v>203</v>
      </c>
      <c r="B41" s="140" t="s">
        <v>40</v>
      </c>
      <c r="C41" s="157">
        <v>14</v>
      </c>
      <c r="D41" s="141">
        <v>600</v>
      </c>
      <c r="E41" s="151">
        <f t="shared" si="4"/>
        <v>8400</v>
      </c>
      <c r="F41" s="109"/>
      <c r="G41" s="149"/>
      <c r="H41" s="135"/>
      <c r="I41" s="109"/>
    </row>
    <row r="42" spans="1:9" ht="15" customHeight="1">
      <c r="A42" s="139" t="s">
        <v>220</v>
      </c>
      <c r="B42" s="140" t="s">
        <v>40</v>
      </c>
      <c r="C42" s="157">
        <v>4</v>
      </c>
      <c r="D42" s="174">
        <v>15000</v>
      </c>
      <c r="E42" s="151">
        <f t="shared" si="4"/>
        <v>60000</v>
      </c>
      <c r="F42" s="109"/>
      <c r="G42" s="149"/>
      <c r="H42" s="135"/>
      <c r="I42" s="109"/>
    </row>
    <row r="43" spans="1:9" ht="15" customHeight="1">
      <c r="A43" s="139" t="s">
        <v>221</v>
      </c>
      <c r="B43" s="140" t="s">
        <v>39</v>
      </c>
      <c r="C43" s="157">
        <v>132</v>
      </c>
      <c r="D43" s="174">
        <v>130</v>
      </c>
      <c r="E43" s="151">
        <f t="shared" si="4"/>
        <v>17160</v>
      </c>
      <c r="F43" s="109"/>
      <c r="G43" s="149"/>
      <c r="H43" s="135"/>
      <c r="I43" s="109"/>
    </row>
    <row r="44" spans="1:9" ht="15" customHeight="1">
      <c r="A44" s="139" t="s">
        <v>232</v>
      </c>
      <c r="B44" s="140" t="s">
        <v>40</v>
      </c>
      <c r="C44" s="157">
        <v>200</v>
      </c>
      <c r="D44" s="174">
        <v>65</v>
      </c>
      <c r="E44" s="151">
        <f t="shared" si="4"/>
        <v>13000</v>
      </c>
      <c r="F44" s="109"/>
      <c r="G44" s="149"/>
      <c r="H44" s="135"/>
      <c r="I44" s="109"/>
    </row>
    <row r="45" spans="1:9" ht="15" customHeight="1">
      <c r="A45" s="139" t="s">
        <v>219</v>
      </c>
      <c r="B45" s="140" t="s">
        <v>40</v>
      </c>
      <c r="C45" s="157">
        <v>3</v>
      </c>
      <c r="D45" s="174">
        <v>1500</v>
      </c>
      <c r="E45" s="151">
        <f t="shared" si="4"/>
        <v>4500</v>
      </c>
      <c r="F45" s="109"/>
      <c r="G45" s="149"/>
      <c r="H45" s="135"/>
      <c r="I45" s="109"/>
    </row>
    <row r="46" spans="1:9" ht="15" customHeight="1">
      <c r="A46" s="139" t="s">
        <v>237</v>
      </c>
      <c r="B46" s="140" t="s">
        <v>40</v>
      </c>
      <c r="C46" s="157">
        <v>1</v>
      </c>
      <c r="D46" s="174">
        <v>150000</v>
      </c>
      <c r="E46" s="151">
        <f t="shared" si="4"/>
        <v>150000</v>
      </c>
      <c r="F46" s="109"/>
      <c r="G46" s="149"/>
      <c r="H46" s="135"/>
      <c r="I46" s="109"/>
    </row>
    <row r="47" spans="1:9" ht="15" customHeight="1">
      <c r="A47" s="139" t="s">
        <v>233</v>
      </c>
      <c r="B47" s="140" t="s">
        <v>40</v>
      </c>
      <c r="C47" s="157">
        <v>1</v>
      </c>
      <c r="D47" s="174">
        <v>50000</v>
      </c>
      <c r="E47" s="151">
        <f t="shared" si="4"/>
        <v>50000</v>
      </c>
      <c r="F47" s="109"/>
      <c r="G47" s="149"/>
      <c r="H47" s="135"/>
      <c r="I47" s="109"/>
    </row>
    <row r="48" spans="1:9" ht="15" customHeight="1">
      <c r="A48" s="139" t="s">
        <v>218</v>
      </c>
      <c r="B48" s="140" t="s">
        <v>40</v>
      </c>
      <c r="C48" s="157">
        <v>5</v>
      </c>
      <c r="D48" s="174">
        <v>35000</v>
      </c>
      <c r="E48" s="151">
        <f t="shared" si="4"/>
        <v>175000</v>
      </c>
      <c r="F48" s="109"/>
      <c r="G48" s="149"/>
      <c r="H48" s="135"/>
      <c r="I48" s="109"/>
    </row>
    <row r="49" spans="1:10" ht="15" customHeight="1">
      <c r="A49" s="139" t="s">
        <v>222</v>
      </c>
      <c r="B49" s="140" t="s">
        <v>39</v>
      </c>
      <c r="C49" s="157">
        <v>44</v>
      </c>
      <c r="D49" s="174">
        <v>425</v>
      </c>
      <c r="E49" s="151">
        <f t="shared" si="4"/>
        <v>18700</v>
      </c>
      <c r="F49" s="109"/>
      <c r="G49" s="149"/>
      <c r="H49" s="135"/>
      <c r="I49" s="109"/>
    </row>
    <row r="50" spans="1:10" ht="15" customHeight="1">
      <c r="A50" s="139" t="s">
        <v>217</v>
      </c>
      <c r="B50" s="140" t="s">
        <v>41</v>
      </c>
      <c r="C50" s="157">
        <v>28330</v>
      </c>
      <c r="D50" s="174">
        <v>3</v>
      </c>
      <c r="E50" s="151">
        <f t="shared" si="4"/>
        <v>84990</v>
      </c>
      <c r="G50" s="163"/>
      <c r="H50" s="164"/>
    </row>
    <row r="51" spans="1:10" ht="15" customHeight="1">
      <c r="A51" s="139" t="s">
        <v>239</v>
      </c>
      <c r="B51" s="140" t="s">
        <v>42</v>
      </c>
      <c r="C51" s="157">
        <v>1</v>
      </c>
      <c r="D51" s="141">
        <v>25000</v>
      </c>
      <c r="E51" s="151">
        <f t="shared" si="4"/>
        <v>25000</v>
      </c>
      <c r="G51" s="163"/>
      <c r="H51" s="164"/>
    </row>
    <row r="52" spans="1:10" ht="15" customHeight="1">
      <c r="A52" s="139" t="s">
        <v>234</v>
      </c>
      <c r="B52" s="140" t="s">
        <v>40</v>
      </c>
      <c r="C52" s="157">
        <v>50</v>
      </c>
      <c r="D52" s="141">
        <v>1000</v>
      </c>
      <c r="E52" s="151">
        <f t="shared" si="4"/>
        <v>50000</v>
      </c>
      <c r="G52" s="163"/>
      <c r="H52" s="164"/>
    </row>
    <row r="53" spans="1:10" ht="14.45" customHeight="1">
      <c r="A53" s="146" t="s">
        <v>212</v>
      </c>
      <c r="B53" s="159" t="s">
        <v>40</v>
      </c>
      <c r="C53" s="160">
        <v>8</v>
      </c>
      <c r="D53" s="174">
        <v>1800</v>
      </c>
      <c r="E53" s="162">
        <f t="shared" si="4"/>
        <v>14400</v>
      </c>
    </row>
    <row r="54" spans="1:10" ht="15" customHeight="1">
      <c r="A54" s="186" t="s">
        <v>206</v>
      </c>
      <c r="B54" s="187"/>
      <c r="C54" s="187"/>
      <c r="D54" s="187"/>
      <c r="E54" s="188"/>
      <c r="F54" s="109"/>
      <c r="G54" s="149"/>
      <c r="H54" s="135"/>
      <c r="I54" s="109"/>
    </row>
    <row r="55" spans="1:10" ht="15" customHeight="1">
      <c r="A55" s="146" t="s">
        <v>214</v>
      </c>
      <c r="B55" s="159" t="s">
        <v>39</v>
      </c>
      <c r="C55" s="150">
        <v>500</v>
      </c>
      <c r="D55" s="161">
        <v>31</v>
      </c>
      <c r="E55" s="169">
        <f t="shared" ref="E55:E58" si="6">C55*D55</f>
        <v>15500</v>
      </c>
      <c r="F55" s="109"/>
      <c r="G55" s="149"/>
      <c r="H55" s="135"/>
      <c r="I55" s="109"/>
    </row>
    <row r="56" spans="1:10" ht="15" customHeight="1">
      <c r="A56" s="146" t="s">
        <v>236</v>
      </c>
      <c r="B56" s="159" t="s">
        <v>42</v>
      </c>
      <c r="C56" s="150">
        <v>1</v>
      </c>
      <c r="D56" s="161">
        <v>50000</v>
      </c>
      <c r="E56" s="169">
        <f t="shared" si="6"/>
        <v>50000</v>
      </c>
      <c r="F56" s="109"/>
      <c r="G56" s="149"/>
      <c r="H56" s="135"/>
      <c r="I56" s="109"/>
    </row>
    <row r="57" spans="1:10" ht="15" customHeight="1">
      <c r="A57" s="146" t="s">
        <v>215</v>
      </c>
      <c r="B57" s="159" t="s">
        <v>42</v>
      </c>
      <c r="C57" s="150">
        <v>1</v>
      </c>
      <c r="D57" s="161">
        <v>15000</v>
      </c>
      <c r="E57" s="169">
        <f t="shared" si="6"/>
        <v>15000</v>
      </c>
      <c r="F57" s="109"/>
      <c r="G57" s="149"/>
      <c r="H57" s="135"/>
      <c r="I57" s="109"/>
    </row>
    <row r="58" spans="1:10" ht="15" customHeight="1">
      <c r="A58" s="146" t="s">
        <v>210</v>
      </c>
      <c r="B58" s="159" t="s">
        <v>40</v>
      </c>
      <c r="C58" s="150">
        <v>1</v>
      </c>
      <c r="D58" s="161">
        <v>11000</v>
      </c>
      <c r="E58" s="169">
        <f t="shared" si="6"/>
        <v>11000</v>
      </c>
      <c r="F58" s="109"/>
      <c r="G58" s="109"/>
      <c r="H58" s="109"/>
      <c r="I58" s="109"/>
      <c r="J58" s="109"/>
    </row>
    <row r="59" spans="1:10" ht="15" customHeight="1" thickBot="1">
      <c r="A59" s="144"/>
      <c r="B59" s="170"/>
      <c r="C59" s="171"/>
      <c r="D59" s="172"/>
      <c r="E59" s="173"/>
      <c r="F59" s="109"/>
      <c r="G59" s="109"/>
      <c r="H59" s="109"/>
      <c r="I59" s="109"/>
      <c r="J59" s="109"/>
    </row>
    <row r="60" spans="1:10" ht="15" customHeight="1">
      <c r="A60" s="144"/>
      <c r="B60" s="145"/>
      <c r="C60" s="165"/>
      <c r="D60" s="166" t="s">
        <v>188</v>
      </c>
      <c r="E60" s="154">
        <f>SUM(E13:E58)</f>
        <v>1543312.5</v>
      </c>
      <c r="F60" s="109"/>
      <c r="G60" s="109"/>
      <c r="H60" s="109"/>
      <c r="I60" s="109"/>
      <c r="J60" s="109"/>
    </row>
    <row r="61" spans="1:10" ht="17.25" customHeight="1">
      <c r="A61" s="144"/>
      <c r="B61" s="145"/>
      <c r="C61" s="208" t="s">
        <v>213</v>
      </c>
      <c r="D61" s="209"/>
      <c r="E61" s="155">
        <f>E60*0.15</f>
        <v>231496.875</v>
      </c>
      <c r="F61" s="136"/>
      <c r="G61" s="136"/>
      <c r="H61" s="109"/>
      <c r="I61" s="109"/>
      <c r="J61" s="109"/>
    </row>
    <row r="62" spans="1:10" ht="15" customHeight="1" thickBot="1">
      <c r="A62" s="147"/>
      <c r="B62" s="148"/>
      <c r="C62" s="167"/>
      <c r="D62" s="168" t="s">
        <v>169</v>
      </c>
      <c r="E62" s="156">
        <f>E60+E61</f>
        <v>1774809.375</v>
      </c>
      <c r="F62" s="136"/>
      <c r="G62" s="136"/>
      <c r="H62" s="109"/>
      <c r="I62" s="109"/>
      <c r="J62" s="109"/>
    </row>
    <row r="63" spans="1:10" ht="15" customHeight="1">
      <c r="A63" s="189" t="s">
        <v>211</v>
      </c>
      <c r="B63" s="190"/>
      <c r="C63" s="190"/>
      <c r="D63" s="190"/>
      <c r="E63" s="191"/>
      <c r="F63" s="109"/>
      <c r="G63" s="109"/>
      <c r="H63" s="109"/>
      <c r="I63" s="109"/>
      <c r="J63" s="109"/>
    </row>
    <row r="64" spans="1:10" ht="15" customHeight="1">
      <c r="A64" s="192"/>
      <c r="B64" s="193"/>
      <c r="C64" s="193"/>
      <c r="D64" s="193"/>
      <c r="E64" s="194"/>
      <c r="F64" s="109"/>
      <c r="G64" s="109"/>
      <c r="H64" s="109"/>
      <c r="I64" s="109"/>
      <c r="J64" s="109"/>
    </row>
    <row r="65" spans="1:10" ht="15" customHeight="1">
      <c r="A65" s="192"/>
      <c r="B65" s="193"/>
      <c r="C65" s="193"/>
      <c r="D65" s="193"/>
      <c r="E65" s="194"/>
      <c r="F65" s="109"/>
      <c r="G65" s="109"/>
      <c r="H65" s="109"/>
      <c r="I65" s="109"/>
      <c r="J65" s="109"/>
    </row>
    <row r="66" spans="1:10" ht="24.75" customHeight="1">
      <c r="A66" s="192"/>
      <c r="B66" s="193"/>
      <c r="C66" s="193"/>
      <c r="D66" s="193"/>
      <c r="E66" s="194"/>
      <c r="F66" s="109"/>
      <c r="G66" s="109"/>
      <c r="H66" s="109"/>
      <c r="I66" s="109"/>
      <c r="J66" s="109"/>
    </row>
    <row r="67" spans="1:10" ht="15" customHeight="1" thickBot="1">
      <c r="A67" s="195"/>
      <c r="B67" s="196"/>
      <c r="C67" s="196"/>
      <c r="D67" s="196"/>
      <c r="E67" s="197"/>
      <c r="F67" s="109"/>
      <c r="G67" s="109"/>
      <c r="H67" s="109"/>
      <c r="I67" s="109"/>
      <c r="J67" s="109"/>
    </row>
    <row r="68" spans="1:10" ht="15" customHeight="1">
      <c r="F68" s="109"/>
      <c r="G68" s="109"/>
      <c r="H68" s="109"/>
      <c r="I68" s="109"/>
      <c r="J68" s="109"/>
    </row>
    <row r="69" spans="1:10" ht="15" customHeight="1">
      <c r="F69" s="109"/>
      <c r="G69" s="109"/>
      <c r="H69" s="109"/>
      <c r="I69" s="109"/>
      <c r="J69" s="109"/>
    </row>
    <row r="70" spans="1:10" ht="15" customHeight="1">
      <c r="F70" s="109"/>
      <c r="G70" s="109"/>
      <c r="H70" s="109"/>
      <c r="I70" s="109"/>
      <c r="J70" s="109"/>
    </row>
    <row r="71" spans="1:10" ht="15" customHeight="1">
      <c r="F71" s="109"/>
      <c r="G71" s="109"/>
      <c r="H71" s="109"/>
      <c r="I71" s="109"/>
      <c r="J71" s="109"/>
    </row>
    <row r="72" spans="1:10" ht="15" customHeight="1">
      <c r="A72" s="9"/>
      <c r="F72" s="109"/>
      <c r="G72" s="109"/>
      <c r="H72" s="109"/>
      <c r="I72" s="109"/>
      <c r="J72" s="109"/>
    </row>
    <row r="73" spans="1:10" ht="15" customHeight="1">
      <c r="A73" s="133"/>
      <c r="B73" s="11"/>
      <c r="C73" s="11"/>
      <c r="D73" s="11"/>
      <c r="E73" s="11"/>
      <c r="F73" s="109"/>
      <c r="G73" s="109"/>
      <c r="H73" s="109"/>
      <c r="I73" s="109"/>
      <c r="J73" s="109"/>
    </row>
    <row r="74" spans="1:10" ht="15" customHeight="1">
      <c r="A74" s="134"/>
      <c r="B74" s="11"/>
      <c r="C74" s="11"/>
      <c r="D74" s="11"/>
      <c r="E74" s="11"/>
    </row>
    <row r="75" spans="1:10">
      <c r="A75" s="134"/>
      <c r="B75" s="11"/>
      <c r="C75" s="11"/>
      <c r="D75" s="11"/>
      <c r="E75" s="11"/>
    </row>
    <row r="76" spans="1:10">
      <c r="A76" s="134"/>
      <c r="B76" s="11"/>
      <c r="C76" s="11"/>
      <c r="D76" s="11"/>
      <c r="E76" s="11"/>
    </row>
    <row r="77" spans="1:10">
      <c r="A77" s="134"/>
    </row>
    <row r="78" spans="1:10">
      <c r="A78" s="9"/>
    </row>
    <row r="79" spans="1:10">
      <c r="A79" s="133"/>
    </row>
    <row r="80" spans="1:10">
      <c r="A80" s="134"/>
    </row>
    <row r="81" spans="1:1">
      <c r="A81" s="134"/>
    </row>
    <row r="82" spans="1:1">
      <c r="A82" s="134"/>
    </row>
    <row r="83" spans="1:1">
      <c r="A83" s="134"/>
    </row>
  </sheetData>
  <mergeCells count="16">
    <mergeCell ref="A36:E36"/>
    <mergeCell ref="A54:E54"/>
    <mergeCell ref="A63:E67"/>
    <mergeCell ref="A10:A11"/>
    <mergeCell ref="B10:B11"/>
    <mergeCell ref="D10:D11"/>
    <mergeCell ref="E10:E11"/>
    <mergeCell ref="C10:C11"/>
    <mergeCell ref="A12:E12"/>
    <mergeCell ref="A20:E20"/>
    <mergeCell ref="C61:D61"/>
    <mergeCell ref="A4:E4"/>
    <mergeCell ref="A5:E5"/>
    <mergeCell ref="A6:E6"/>
    <mergeCell ref="A7:E7"/>
    <mergeCell ref="A8:E8"/>
  </mergeCells>
  <pageMargins left="0.5" right="0.5" top="0.5" bottom="0.5" header="0.3" footer="0.3"/>
  <pageSetup scale="83" fitToHeight="0" orientation="portrait" r:id="rId1"/>
  <rowBreaks count="1" manualBreakCount="1">
    <brk id="5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28F83-49B6-4F15-9253-2571BCA99819}">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7:U95"/>
  <sheetViews>
    <sheetView view="pageBreakPreview" zoomScale="70" zoomScaleNormal="100" zoomScaleSheetLayoutView="70" workbookViewId="0">
      <selection activeCell="B10" sqref="B10"/>
    </sheetView>
  </sheetViews>
  <sheetFormatPr defaultColWidth="9.140625" defaultRowHeight="15"/>
  <cols>
    <col min="1" max="1" width="46" style="1" customWidth="1"/>
    <col min="2" max="2" width="9" style="1" customWidth="1"/>
    <col min="3" max="3" width="11.5703125" style="1" customWidth="1"/>
    <col min="4" max="4" width="25.7109375" style="1" customWidth="1"/>
    <col min="5" max="13" width="19.7109375" style="1" customWidth="1"/>
    <col min="14" max="16" width="19.7109375" style="23" customWidth="1"/>
    <col min="17" max="17" width="19.85546875" style="23" bestFit="1" customWidth="1"/>
    <col min="18" max="21" width="19.7109375" style="23" customWidth="1"/>
    <col min="22" max="16384" width="9.140625" style="1"/>
  </cols>
  <sheetData>
    <row r="7" spans="1:21">
      <c r="D7" s="3"/>
      <c r="E7" s="3"/>
    </row>
    <row r="8" spans="1:21">
      <c r="D8" s="3"/>
      <c r="E8" s="3"/>
    </row>
    <row r="9" spans="1:21">
      <c r="D9" s="3"/>
      <c r="E9" s="3"/>
    </row>
    <row r="10" spans="1:21">
      <c r="A10" s="5" t="s">
        <v>0</v>
      </c>
      <c r="B10" s="6" t="s">
        <v>63</v>
      </c>
      <c r="C10" s="3"/>
      <c r="D10" s="3"/>
      <c r="E10" s="3"/>
    </row>
    <row r="11" spans="1:21">
      <c r="A11" s="5" t="s">
        <v>1</v>
      </c>
      <c r="B11" s="7" t="s">
        <v>9</v>
      </c>
      <c r="C11" s="3"/>
      <c r="D11" s="3"/>
      <c r="E11" s="3"/>
    </row>
    <row r="12" spans="1:21">
      <c r="A12" s="5" t="s">
        <v>2</v>
      </c>
      <c r="B12" s="8">
        <v>13.2014</v>
      </c>
      <c r="C12" s="3"/>
      <c r="D12" s="3"/>
      <c r="E12" s="3"/>
    </row>
    <row r="13" spans="1:21">
      <c r="A13" s="5" t="s">
        <v>3</v>
      </c>
      <c r="B13" s="4">
        <v>41585</v>
      </c>
      <c r="C13" s="3"/>
      <c r="D13" s="3"/>
      <c r="E13" s="3"/>
    </row>
    <row r="14" spans="1:21" ht="15.75" thickBot="1">
      <c r="A14" s="5"/>
      <c r="B14" s="4"/>
      <c r="C14" s="3"/>
      <c r="D14" s="3"/>
      <c r="E14" s="3"/>
    </row>
    <row r="15" spans="1:21" ht="15" customHeight="1" thickBot="1">
      <c r="C15" s="3"/>
      <c r="D15" s="214" t="s">
        <v>10</v>
      </c>
      <c r="E15" s="215"/>
      <c r="F15" s="216" t="s">
        <v>11</v>
      </c>
      <c r="G15" s="216"/>
      <c r="H15" s="214" t="s">
        <v>12</v>
      </c>
      <c r="I15" s="215"/>
      <c r="J15" s="216" t="s">
        <v>13</v>
      </c>
      <c r="K15" s="216"/>
      <c r="L15" s="214" t="s">
        <v>14</v>
      </c>
      <c r="M15" s="215"/>
      <c r="N15" s="210"/>
      <c r="O15" s="210"/>
      <c r="P15" s="210"/>
      <c r="Q15" s="210"/>
      <c r="R15" s="210"/>
      <c r="S15" s="210"/>
      <c r="T15" s="213"/>
      <c r="U15" s="213"/>
    </row>
    <row r="16" spans="1:21" ht="15.75" thickBot="1">
      <c r="A16" s="2"/>
      <c r="B16" s="4"/>
      <c r="C16" s="3"/>
      <c r="D16" s="25"/>
      <c r="E16" s="28"/>
      <c r="F16" s="23"/>
      <c r="G16" s="23"/>
      <c r="H16" s="25"/>
      <c r="I16" s="28"/>
      <c r="J16" s="23"/>
      <c r="K16" s="23"/>
      <c r="L16" s="25"/>
      <c r="M16" s="28"/>
      <c r="R16" s="29"/>
      <c r="S16" s="29"/>
      <c r="T16" s="48"/>
      <c r="U16" s="48"/>
    </row>
    <row r="17" spans="1:21" ht="15" customHeight="1">
      <c r="A17" s="217" t="s">
        <v>4</v>
      </c>
      <c r="B17" s="219" t="s">
        <v>6</v>
      </c>
      <c r="C17" s="221" t="s">
        <v>7</v>
      </c>
      <c r="D17" s="223" t="s">
        <v>5</v>
      </c>
      <c r="E17" s="225" t="s">
        <v>8</v>
      </c>
      <c r="F17" s="240" t="s">
        <v>5</v>
      </c>
      <c r="G17" s="242" t="s">
        <v>8</v>
      </c>
      <c r="H17" s="223" t="s">
        <v>5</v>
      </c>
      <c r="I17" s="211" t="s">
        <v>8</v>
      </c>
      <c r="J17" s="229" t="s">
        <v>5</v>
      </c>
      <c r="K17" s="230" t="s">
        <v>8</v>
      </c>
      <c r="L17" s="232" t="s">
        <v>5</v>
      </c>
      <c r="M17" s="211" t="s">
        <v>8</v>
      </c>
      <c r="N17" s="227"/>
      <c r="O17" s="228"/>
      <c r="P17" s="227"/>
      <c r="Q17" s="228"/>
      <c r="R17" s="227"/>
      <c r="S17" s="228"/>
      <c r="T17" s="227"/>
      <c r="U17" s="228"/>
    </row>
    <row r="18" spans="1:21" ht="15.75" thickBot="1">
      <c r="A18" s="218"/>
      <c r="B18" s="220"/>
      <c r="C18" s="222"/>
      <c r="D18" s="224"/>
      <c r="E18" s="226"/>
      <c r="F18" s="241"/>
      <c r="G18" s="228"/>
      <c r="H18" s="224"/>
      <c r="I18" s="212"/>
      <c r="J18" s="227"/>
      <c r="K18" s="231"/>
      <c r="L18" s="233"/>
      <c r="M18" s="212"/>
      <c r="N18" s="227"/>
      <c r="O18" s="228"/>
      <c r="P18" s="227"/>
      <c r="Q18" s="228"/>
      <c r="R18" s="227"/>
      <c r="S18" s="228"/>
      <c r="T18" s="227"/>
      <c r="U18" s="228"/>
    </row>
    <row r="19" spans="1:21">
      <c r="A19" s="32" t="e">
        <f>#REF!</f>
        <v>#REF!</v>
      </c>
      <c r="B19" s="33" t="e">
        <f>#REF!</f>
        <v>#REF!</v>
      </c>
      <c r="C19" s="37" t="e">
        <f>#REF!</f>
        <v>#REF!</v>
      </c>
      <c r="D19" s="70" t="e">
        <f>#REF!</f>
        <v>#REF!</v>
      </c>
      <c r="E19" s="34" t="e">
        <f>#REF!</f>
        <v>#REF!</v>
      </c>
      <c r="F19" s="35" t="e">
        <f>#REF!</f>
        <v>#REF!</v>
      </c>
      <c r="G19" s="34" t="e">
        <f>#REF!</f>
        <v>#REF!</v>
      </c>
      <c r="H19" s="35" t="e">
        <f>#REF!</f>
        <v>#REF!</v>
      </c>
      <c r="I19" s="34" t="e">
        <f>#REF!</f>
        <v>#REF!</v>
      </c>
      <c r="J19" s="35" t="e">
        <f>#REF!</f>
        <v>#REF!</v>
      </c>
      <c r="K19" s="34" t="e">
        <f>#REF!</f>
        <v>#REF!</v>
      </c>
      <c r="L19" s="35" t="e">
        <f>#REF!</f>
        <v>#REF!</v>
      </c>
      <c r="M19" s="37" t="e">
        <f>#REF!</f>
        <v>#REF!</v>
      </c>
      <c r="N19" s="49"/>
      <c r="O19" s="50"/>
      <c r="P19" s="49"/>
      <c r="Q19" s="50"/>
      <c r="R19" s="49"/>
      <c r="S19" s="50"/>
      <c r="T19" s="49"/>
      <c r="U19" s="50"/>
    </row>
    <row r="20" spans="1:21">
      <c r="A20" s="38" t="e">
        <f>#REF!</f>
        <v>#REF!</v>
      </c>
      <c r="B20" s="19" t="e">
        <f>#REF!</f>
        <v>#REF!</v>
      </c>
      <c r="C20" s="39" t="e">
        <f>#REF!</f>
        <v>#REF!</v>
      </c>
      <c r="D20" s="71" t="e">
        <f>#REF!</f>
        <v>#REF!</v>
      </c>
      <c r="E20" s="14" t="e">
        <f>#REF!</f>
        <v>#REF!</v>
      </c>
      <c r="F20" s="68" t="e">
        <f>#REF!</f>
        <v>#REF!</v>
      </c>
      <c r="G20" s="14" t="e">
        <f>#REF!</f>
        <v>#REF!</v>
      </c>
      <c r="H20" s="68" t="e">
        <f>#REF!</f>
        <v>#REF!</v>
      </c>
      <c r="I20" s="14" t="e">
        <f>#REF!</f>
        <v>#REF!</v>
      </c>
      <c r="J20" s="68" t="e">
        <f>#REF!</f>
        <v>#REF!</v>
      </c>
      <c r="K20" s="14" t="e">
        <f>#REF!</f>
        <v>#REF!</v>
      </c>
      <c r="L20" s="68" t="e">
        <f>#REF!</f>
        <v>#REF!</v>
      </c>
      <c r="M20" s="39" t="e">
        <f>#REF!</f>
        <v>#REF!</v>
      </c>
      <c r="N20" s="49"/>
      <c r="O20" s="50"/>
      <c r="P20" s="49"/>
      <c r="Q20" s="50"/>
      <c r="R20" s="49"/>
      <c r="S20" s="50"/>
      <c r="T20" s="49"/>
      <c r="U20" s="50"/>
    </row>
    <row r="21" spans="1:21">
      <c r="A21" s="38" t="e">
        <f>#REF!</f>
        <v>#REF!</v>
      </c>
      <c r="B21" s="19" t="e">
        <f>#REF!</f>
        <v>#REF!</v>
      </c>
      <c r="C21" s="39" t="e">
        <f>#REF!</f>
        <v>#REF!</v>
      </c>
      <c r="D21" s="71" t="e">
        <f>#REF!</f>
        <v>#REF!</v>
      </c>
      <c r="E21" s="14" t="e">
        <f>#REF!</f>
        <v>#REF!</v>
      </c>
      <c r="F21" s="68" t="e">
        <f>#REF!</f>
        <v>#REF!</v>
      </c>
      <c r="G21" s="14" t="e">
        <f>#REF!</f>
        <v>#REF!</v>
      </c>
      <c r="H21" s="68" t="e">
        <f>#REF!</f>
        <v>#REF!</v>
      </c>
      <c r="I21" s="14" t="e">
        <f>#REF!</f>
        <v>#REF!</v>
      </c>
      <c r="J21" s="68" t="e">
        <f>#REF!</f>
        <v>#REF!</v>
      </c>
      <c r="K21" s="14" t="e">
        <f>#REF!</f>
        <v>#REF!</v>
      </c>
      <c r="L21" s="68" t="e">
        <f>#REF!</f>
        <v>#REF!</v>
      </c>
      <c r="M21" s="39" t="e">
        <f>#REF!</f>
        <v>#REF!</v>
      </c>
      <c r="N21" s="49"/>
      <c r="O21" s="50"/>
      <c r="P21" s="49"/>
      <c r="Q21" s="50"/>
      <c r="R21" s="49"/>
      <c r="S21" s="50"/>
      <c r="T21" s="49"/>
      <c r="U21" s="50"/>
    </row>
    <row r="22" spans="1:21">
      <c r="A22" s="38" t="e">
        <f>#REF!</f>
        <v>#REF!</v>
      </c>
      <c r="B22" s="19" t="e">
        <f>#REF!</f>
        <v>#REF!</v>
      </c>
      <c r="C22" s="39" t="e">
        <f>#REF!</f>
        <v>#REF!</v>
      </c>
      <c r="D22" s="71" t="e">
        <f>#REF!</f>
        <v>#REF!</v>
      </c>
      <c r="E22" s="14" t="e">
        <f>#REF!</f>
        <v>#REF!</v>
      </c>
      <c r="F22" s="68" t="e">
        <f>#REF!</f>
        <v>#REF!</v>
      </c>
      <c r="G22" s="14" t="e">
        <f>#REF!</f>
        <v>#REF!</v>
      </c>
      <c r="H22" s="68" t="e">
        <f>#REF!</f>
        <v>#REF!</v>
      </c>
      <c r="I22" s="14" t="e">
        <f>#REF!</f>
        <v>#REF!</v>
      </c>
      <c r="J22" s="68" t="e">
        <f>#REF!</f>
        <v>#REF!</v>
      </c>
      <c r="K22" s="14" t="e">
        <f>#REF!</f>
        <v>#REF!</v>
      </c>
      <c r="L22" s="68" t="e">
        <f>#REF!</f>
        <v>#REF!</v>
      </c>
      <c r="M22" s="39" t="e">
        <f>#REF!</f>
        <v>#REF!</v>
      </c>
      <c r="N22" s="49"/>
      <c r="O22" s="50"/>
      <c r="P22" s="49"/>
      <c r="Q22" s="50"/>
      <c r="R22" s="49"/>
      <c r="S22" s="50"/>
      <c r="T22" s="49"/>
      <c r="U22" s="50"/>
    </row>
    <row r="23" spans="1:21">
      <c r="A23" s="38" t="e">
        <f>#REF!</f>
        <v>#REF!</v>
      </c>
      <c r="B23" s="19" t="e">
        <f>#REF!</f>
        <v>#REF!</v>
      </c>
      <c r="C23" s="39" t="e">
        <f>#REF!</f>
        <v>#REF!</v>
      </c>
      <c r="D23" s="71" t="e">
        <f>#REF!</f>
        <v>#REF!</v>
      </c>
      <c r="E23" s="14" t="e">
        <f>#REF!</f>
        <v>#REF!</v>
      </c>
      <c r="F23" s="68" t="e">
        <f>#REF!</f>
        <v>#REF!</v>
      </c>
      <c r="G23" s="14" t="e">
        <f>#REF!</f>
        <v>#REF!</v>
      </c>
      <c r="H23" s="68" t="e">
        <f>#REF!</f>
        <v>#REF!</v>
      </c>
      <c r="I23" s="14" t="e">
        <f>#REF!</f>
        <v>#REF!</v>
      </c>
      <c r="J23" s="68" t="e">
        <f>#REF!</f>
        <v>#REF!</v>
      </c>
      <c r="K23" s="14" t="e">
        <f>#REF!</f>
        <v>#REF!</v>
      </c>
      <c r="L23" s="68" t="e">
        <f>#REF!</f>
        <v>#REF!</v>
      </c>
      <c r="M23" s="39" t="e">
        <f>#REF!</f>
        <v>#REF!</v>
      </c>
      <c r="N23" s="49"/>
      <c r="O23" s="50"/>
      <c r="P23" s="49"/>
      <c r="Q23" s="50"/>
      <c r="R23" s="49"/>
      <c r="S23" s="50"/>
      <c r="T23" s="49"/>
      <c r="U23" s="50"/>
    </row>
    <row r="24" spans="1:21">
      <c r="A24" s="38" t="e">
        <f>#REF!</f>
        <v>#REF!</v>
      </c>
      <c r="B24" s="19" t="e">
        <f>#REF!</f>
        <v>#REF!</v>
      </c>
      <c r="C24" s="39" t="e">
        <f>#REF!</f>
        <v>#REF!</v>
      </c>
      <c r="D24" s="71" t="e">
        <f>#REF!</f>
        <v>#REF!</v>
      </c>
      <c r="E24" s="14" t="e">
        <f>#REF!</f>
        <v>#REF!</v>
      </c>
      <c r="F24" s="68" t="e">
        <f>#REF!</f>
        <v>#REF!</v>
      </c>
      <c r="G24" s="14" t="e">
        <f>#REF!</f>
        <v>#REF!</v>
      </c>
      <c r="H24" s="68" t="e">
        <f>#REF!</f>
        <v>#REF!</v>
      </c>
      <c r="I24" s="14" t="e">
        <f>#REF!</f>
        <v>#REF!</v>
      </c>
      <c r="J24" s="68" t="e">
        <f>#REF!</f>
        <v>#REF!</v>
      </c>
      <c r="K24" s="14" t="e">
        <f>#REF!</f>
        <v>#REF!</v>
      </c>
      <c r="L24" s="68" t="e">
        <f>#REF!</f>
        <v>#REF!</v>
      </c>
      <c r="M24" s="39" t="e">
        <f>#REF!</f>
        <v>#REF!</v>
      </c>
      <c r="N24" s="49"/>
      <c r="O24" s="50"/>
      <c r="P24" s="49"/>
      <c r="Q24" s="50"/>
      <c r="R24" s="49"/>
      <c r="S24" s="50"/>
      <c r="T24" s="49"/>
      <c r="U24" s="50"/>
    </row>
    <row r="25" spans="1:21">
      <c r="A25" s="38" t="e">
        <f>#REF!</f>
        <v>#REF!</v>
      </c>
      <c r="B25" s="19" t="e">
        <f>#REF!</f>
        <v>#REF!</v>
      </c>
      <c r="C25" s="39" t="e">
        <f>#REF!</f>
        <v>#REF!</v>
      </c>
      <c r="D25" s="71" t="e">
        <f>#REF!</f>
        <v>#REF!</v>
      </c>
      <c r="E25" s="14" t="e">
        <f>#REF!</f>
        <v>#REF!</v>
      </c>
      <c r="F25" s="68" t="e">
        <f>#REF!</f>
        <v>#REF!</v>
      </c>
      <c r="G25" s="14" t="e">
        <f>#REF!</f>
        <v>#REF!</v>
      </c>
      <c r="H25" s="68" t="e">
        <f>#REF!</f>
        <v>#REF!</v>
      </c>
      <c r="I25" s="14" t="e">
        <f>#REF!</f>
        <v>#REF!</v>
      </c>
      <c r="J25" s="68" t="e">
        <f>#REF!</f>
        <v>#REF!</v>
      </c>
      <c r="K25" s="14" t="e">
        <f>#REF!</f>
        <v>#REF!</v>
      </c>
      <c r="L25" s="68" t="e">
        <f>#REF!</f>
        <v>#REF!</v>
      </c>
      <c r="M25" s="39" t="e">
        <f>#REF!</f>
        <v>#REF!</v>
      </c>
      <c r="N25" s="49"/>
      <c r="O25" s="50"/>
      <c r="P25" s="49"/>
      <c r="Q25" s="50"/>
      <c r="R25" s="49"/>
      <c r="S25" s="50"/>
      <c r="T25" s="49"/>
      <c r="U25" s="50"/>
    </row>
    <row r="26" spans="1:21">
      <c r="A26" s="38" t="e">
        <f>#REF!</f>
        <v>#REF!</v>
      </c>
      <c r="B26" s="19" t="e">
        <f>#REF!</f>
        <v>#REF!</v>
      </c>
      <c r="C26" s="39" t="e">
        <f>#REF!</f>
        <v>#REF!</v>
      </c>
      <c r="D26" s="71" t="e">
        <f>#REF!</f>
        <v>#REF!</v>
      </c>
      <c r="E26" s="14" t="e">
        <f>#REF!</f>
        <v>#REF!</v>
      </c>
      <c r="F26" s="68" t="e">
        <f>#REF!</f>
        <v>#REF!</v>
      </c>
      <c r="G26" s="14" t="e">
        <f>#REF!</f>
        <v>#REF!</v>
      </c>
      <c r="H26" s="68" t="e">
        <f>#REF!</f>
        <v>#REF!</v>
      </c>
      <c r="I26" s="14" t="e">
        <f>#REF!</f>
        <v>#REF!</v>
      </c>
      <c r="J26" s="68" t="e">
        <f>#REF!</f>
        <v>#REF!</v>
      </c>
      <c r="K26" s="14" t="e">
        <f>#REF!</f>
        <v>#REF!</v>
      </c>
      <c r="L26" s="68" t="e">
        <f>#REF!</f>
        <v>#REF!</v>
      </c>
      <c r="M26" s="39" t="e">
        <f>#REF!</f>
        <v>#REF!</v>
      </c>
      <c r="N26" s="49"/>
      <c r="O26" s="50"/>
      <c r="P26" s="49"/>
      <c r="Q26" s="50"/>
      <c r="R26" s="49"/>
      <c r="S26" s="50"/>
      <c r="T26" s="49"/>
      <c r="U26" s="50"/>
    </row>
    <row r="27" spans="1:21">
      <c r="A27" s="38" t="e">
        <f>#REF!</f>
        <v>#REF!</v>
      </c>
      <c r="B27" s="19" t="e">
        <f>#REF!</f>
        <v>#REF!</v>
      </c>
      <c r="C27" s="39" t="e">
        <f>#REF!</f>
        <v>#REF!</v>
      </c>
      <c r="D27" s="71" t="e">
        <f>#REF!</f>
        <v>#REF!</v>
      </c>
      <c r="E27" s="14" t="e">
        <f>#REF!</f>
        <v>#REF!</v>
      </c>
      <c r="F27" s="68" t="e">
        <f>#REF!</f>
        <v>#REF!</v>
      </c>
      <c r="G27" s="14" t="e">
        <f>#REF!</f>
        <v>#REF!</v>
      </c>
      <c r="H27" s="68" t="e">
        <f>#REF!</f>
        <v>#REF!</v>
      </c>
      <c r="I27" s="14" t="e">
        <f>#REF!</f>
        <v>#REF!</v>
      </c>
      <c r="J27" s="68" t="e">
        <f>#REF!</f>
        <v>#REF!</v>
      </c>
      <c r="K27" s="14" t="e">
        <f>#REF!</f>
        <v>#REF!</v>
      </c>
      <c r="L27" s="68" t="e">
        <f>#REF!</f>
        <v>#REF!</v>
      </c>
      <c r="M27" s="39" t="e">
        <f>#REF!</f>
        <v>#REF!</v>
      </c>
      <c r="N27" s="49"/>
      <c r="O27" s="50"/>
      <c r="P27" s="49"/>
      <c r="Q27" s="50"/>
      <c r="R27" s="49"/>
      <c r="S27" s="50"/>
      <c r="T27" s="49"/>
      <c r="U27" s="50"/>
    </row>
    <row r="28" spans="1:21">
      <c r="A28" s="38" t="e">
        <f>#REF!</f>
        <v>#REF!</v>
      </c>
      <c r="B28" s="19" t="e">
        <f>#REF!</f>
        <v>#REF!</v>
      </c>
      <c r="C28" s="39" t="e">
        <f>#REF!</f>
        <v>#REF!</v>
      </c>
      <c r="D28" s="71" t="e">
        <f>#REF!</f>
        <v>#REF!</v>
      </c>
      <c r="E28" s="14" t="e">
        <f>#REF!</f>
        <v>#REF!</v>
      </c>
      <c r="F28" s="68" t="e">
        <f>#REF!</f>
        <v>#REF!</v>
      </c>
      <c r="G28" s="14" t="e">
        <f>#REF!</f>
        <v>#REF!</v>
      </c>
      <c r="H28" s="68" t="e">
        <f>#REF!</f>
        <v>#REF!</v>
      </c>
      <c r="I28" s="14" t="e">
        <f>#REF!</f>
        <v>#REF!</v>
      </c>
      <c r="J28" s="68" t="e">
        <f>#REF!</f>
        <v>#REF!</v>
      </c>
      <c r="K28" s="14" t="e">
        <f>#REF!</f>
        <v>#REF!</v>
      </c>
      <c r="L28" s="68" t="e">
        <f>#REF!</f>
        <v>#REF!</v>
      </c>
      <c r="M28" s="39" t="e">
        <f>#REF!</f>
        <v>#REF!</v>
      </c>
      <c r="N28" s="49"/>
      <c r="O28" s="50"/>
      <c r="P28" s="49"/>
      <c r="Q28" s="50"/>
      <c r="R28" s="49"/>
      <c r="S28" s="50"/>
      <c r="T28" s="49"/>
      <c r="U28" s="50"/>
    </row>
    <row r="29" spans="1:21">
      <c r="A29" s="38" t="e">
        <f>#REF!</f>
        <v>#REF!</v>
      </c>
      <c r="B29" s="19" t="e">
        <f>#REF!</f>
        <v>#REF!</v>
      </c>
      <c r="C29" s="39" t="e">
        <f>#REF!</f>
        <v>#REF!</v>
      </c>
      <c r="D29" s="71" t="e">
        <f>#REF!</f>
        <v>#REF!</v>
      </c>
      <c r="E29" s="14" t="e">
        <f>#REF!</f>
        <v>#REF!</v>
      </c>
      <c r="F29" s="68" t="e">
        <f>#REF!</f>
        <v>#REF!</v>
      </c>
      <c r="G29" s="14" t="e">
        <f>#REF!</f>
        <v>#REF!</v>
      </c>
      <c r="H29" s="68" t="e">
        <f>#REF!</f>
        <v>#REF!</v>
      </c>
      <c r="I29" s="14" t="e">
        <f>#REF!</f>
        <v>#REF!</v>
      </c>
      <c r="J29" s="68" t="e">
        <f>#REF!</f>
        <v>#REF!</v>
      </c>
      <c r="K29" s="14" t="e">
        <f>#REF!</f>
        <v>#REF!</v>
      </c>
      <c r="L29" s="68" t="e">
        <f>#REF!</f>
        <v>#REF!</v>
      </c>
      <c r="M29" s="39" t="e">
        <f>#REF!</f>
        <v>#REF!</v>
      </c>
      <c r="N29" s="49"/>
      <c r="O29" s="50"/>
      <c r="P29" s="49"/>
      <c r="Q29" s="50"/>
      <c r="R29" s="49"/>
      <c r="S29" s="50"/>
      <c r="T29" s="49"/>
      <c r="U29" s="50"/>
    </row>
    <row r="30" spans="1:21">
      <c r="A30" s="38" t="e">
        <f>#REF!</f>
        <v>#REF!</v>
      </c>
      <c r="B30" s="19" t="e">
        <f>#REF!</f>
        <v>#REF!</v>
      </c>
      <c r="C30" s="39" t="e">
        <f>#REF!</f>
        <v>#REF!</v>
      </c>
      <c r="D30" s="71" t="e">
        <f>#REF!</f>
        <v>#REF!</v>
      </c>
      <c r="E30" s="14" t="e">
        <f>#REF!</f>
        <v>#REF!</v>
      </c>
      <c r="F30" s="68" t="e">
        <f>#REF!</f>
        <v>#REF!</v>
      </c>
      <c r="G30" s="14" t="e">
        <f>#REF!</f>
        <v>#REF!</v>
      </c>
      <c r="H30" s="68" t="e">
        <f>#REF!</f>
        <v>#REF!</v>
      </c>
      <c r="I30" s="14" t="e">
        <f>#REF!</f>
        <v>#REF!</v>
      </c>
      <c r="J30" s="68" t="e">
        <f>#REF!</f>
        <v>#REF!</v>
      </c>
      <c r="K30" s="14" t="e">
        <f>#REF!</f>
        <v>#REF!</v>
      </c>
      <c r="L30" s="68" t="e">
        <f>#REF!</f>
        <v>#REF!</v>
      </c>
      <c r="M30" s="39" t="e">
        <f>#REF!</f>
        <v>#REF!</v>
      </c>
      <c r="N30" s="49"/>
      <c r="O30" s="50"/>
      <c r="P30" s="49"/>
      <c r="Q30" s="50"/>
      <c r="R30" s="49"/>
      <c r="S30" s="50"/>
      <c r="T30" s="49"/>
      <c r="U30" s="50"/>
    </row>
    <row r="31" spans="1:21">
      <c r="A31" s="38" t="e">
        <f>#REF!</f>
        <v>#REF!</v>
      </c>
      <c r="B31" s="19" t="e">
        <f>#REF!</f>
        <v>#REF!</v>
      </c>
      <c r="C31" s="39" t="e">
        <f>#REF!</f>
        <v>#REF!</v>
      </c>
      <c r="D31" s="71" t="e">
        <f>#REF!</f>
        <v>#REF!</v>
      </c>
      <c r="E31" s="14" t="e">
        <f>#REF!</f>
        <v>#REF!</v>
      </c>
      <c r="F31" s="68" t="e">
        <f>#REF!</f>
        <v>#REF!</v>
      </c>
      <c r="G31" s="14" t="e">
        <f>#REF!</f>
        <v>#REF!</v>
      </c>
      <c r="H31" s="68" t="e">
        <f>#REF!</f>
        <v>#REF!</v>
      </c>
      <c r="I31" s="14" t="e">
        <f>#REF!</f>
        <v>#REF!</v>
      </c>
      <c r="J31" s="68" t="e">
        <f>#REF!</f>
        <v>#REF!</v>
      </c>
      <c r="K31" s="14" t="e">
        <f>#REF!</f>
        <v>#REF!</v>
      </c>
      <c r="L31" s="68" t="e">
        <f>#REF!</f>
        <v>#REF!</v>
      </c>
      <c r="M31" s="39" t="e">
        <f>#REF!</f>
        <v>#REF!</v>
      </c>
      <c r="N31" s="49"/>
      <c r="O31" s="50"/>
      <c r="P31" s="49"/>
      <c r="Q31" s="50"/>
      <c r="R31" s="49"/>
      <c r="S31" s="50"/>
      <c r="T31" s="49"/>
      <c r="U31" s="50"/>
    </row>
    <row r="32" spans="1:21">
      <c r="A32" s="38" t="e">
        <f>#REF!</f>
        <v>#REF!</v>
      </c>
      <c r="B32" s="19" t="e">
        <f>#REF!</f>
        <v>#REF!</v>
      </c>
      <c r="C32" s="39" t="e">
        <f>#REF!</f>
        <v>#REF!</v>
      </c>
      <c r="D32" s="71" t="e">
        <f>#REF!</f>
        <v>#REF!</v>
      </c>
      <c r="E32" s="14" t="e">
        <f>#REF!</f>
        <v>#REF!</v>
      </c>
      <c r="F32" s="68" t="e">
        <f>#REF!</f>
        <v>#REF!</v>
      </c>
      <c r="G32" s="14" t="e">
        <f>#REF!</f>
        <v>#REF!</v>
      </c>
      <c r="H32" s="68" t="e">
        <f>#REF!</f>
        <v>#REF!</v>
      </c>
      <c r="I32" s="14" t="e">
        <f>#REF!</f>
        <v>#REF!</v>
      </c>
      <c r="J32" s="68" t="e">
        <f>#REF!</f>
        <v>#REF!</v>
      </c>
      <c r="K32" s="14" t="e">
        <f>#REF!</f>
        <v>#REF!</v>
      </c>
      <c r="L32" s="68" t="e">
        <f>#REF!</f>
        <v>#REF!</v>
      </c>
      <c r="M32" s="39" t="e">
        <f>#REF!</f>
        <v>#REF!</v>
      </c>
      <c r="N32" s="49"/>
      <c r="O32" s="50"/>
      <c r="P32" s="49"/>
      <c r="Q32" s="50"/>
      <c r="R32" s="49"/>
      <c r="S32" s="50"/>
      <c r="T32" s="49"/>
      <c r="U32" s="50"/>
    </row>
    <row r="33" spans="1:21">
      <c r="A33" s="38" t="e">
        <f>#REF!</f>
        <v>#REF!</v>
      </c>
      <c r="B33" s="19" t="e">
        <f>#REF!</f>
        <v>#REF!</v>
      </c>
      <c r="C33" s="39" t="e">
        <f>#REF!</f>
        <v>#REF!</v>
      </c>
      <c r="D33" s="71" t="e">
        <f>#REF!</f>
        <v>#REF!</v>
      </c>
      <c r="E33" s="14" t="e">
        <f>#REF!</f>
        <v>#REF!</v>
      </c>
      <c r="F33" s="68" t="e">
        <f>#REF!</f>
        <v>#REF!</v>
      </c>
      <c r="G33" s="14" t="e">
        <f>#REF!</f>
        <v>#REF!</v>
      </c>
      <c r="H33" s="68" t="e">
        <f>#REF!</f>
        <v>#REF!</v>
      </c>
      <c r="I33" s="14" t="e">
        <f>#REF!</f>
        <v>#REF!</v>
      </c>
      <c r="J33" s="68" t="e">
        <f>#REF!</f>
        <v>#REF!</v>
      </c>
      <c r="K33" s="14" t="e">
        <f>#REF!</f>
        <v>#REF!</v>
      </c>
      <c r="L33" s="68" t="e">
        <f>#REF!</f>
        <v>#REF!</v>
      </c>
      <c r="M33" s="39" t="e">
        <f>#REF!</f>
        <v>#REF!</v>
      </c>
      <c r="N33" s="49"/>
      <c r="O33" s="50"/>
      <c r="P33" s="49"/>
      <c r="Q33" s="50"/>
      <c r="R33" s="49"/>
      <c r="S33" s="50"/>
      <c r="T33" s="49"/>
      <c r="U33" s="50"/>
    </row>
    <row r="34" spans="1:21">
      <c r="A34" s="38" t="e">
        <f>#REF!</f>
        <v>#REF!</v>
      </c>
      <c r="B34" s="19" t="e">
        <f>#REF!</f>
        <v>#REF!</v>
      </c>
      <c r="C34" s="39" t="e">
        <f>#REF!</f>
        <v>#REF!</v>
      </c>
      <c r="D34" s="71" t="e">
        <f>#REF!</f>
        <v>#REF!</v>
      </c>
      <c r="E34" s="14" t="e">
        <f>#REF!</f>
        <v>#REF!</v>
      </c>
      <c r="F34" s="68" t="e">
        <f>#REF!</f>
        <v>#REF!</v>
      </c>
      <c r="G34" s="14" t="e">
        <f>#REF!</f>
        <v>#REF!</v>
      </c>
      <c r="H34" s="68" t="e">
        <f>#REF!</f>
        <v>#REF!</v>
      </c>
      <c r="I34" s="14" t="e">
        <f>#REF!</f>
        <v>#REF!</v>
      </c>
      <c r="J34" s="68" t="e">
        <f>#REF!</f>
        <v>#REF!</v>
      </c>
      <c r="K34" s="14" t="e">
        <f>#REF!</f>
        <v>#REF!</v>
      </c>
      <c r="L34" s="68" t="e">
        <f>#REF!</f>
        <v>#REF!</v>
      </c>
      <c r="M34" s="39" t="e">
        <f>#REF!</f>
        <v>#REF!</v>
      </c>
      <c r="N34" s="49"/>
      <c r="O34" s="50"/>
      <c r="P34" s="49"/>
      <c r="Q34" s="50"/>
      <c r="R34" s="49"/>
      <c r="S34" s="50"/>
      <c r="T34" s="49"/>
      <c r="U34" s="50"/>
    </row>
    <row r="35" spans="1:21">
      <c r="A35" s="38" t="e">
        <f>#REF!</f>
        <v>#REF!</v>
      </c>
      <c r="B35" s="19" t="e">
        <f>#REF!</f>
        <v>#REF!</v>
      </c>
      <c r="C35" s="39" t="e">
        <f>#REF!</f>
        <v>#REF!</v>
      </c>
      <c r="D35" s="71" t="e">
        <f>#REF!</f>
        <v>#REF!</v>
      </c>
      <c r="E35" s="14" t="e">
        <f>#REF!</f>
        <v>#REF!</v>
      </c>
      <c r="F35" s="68" t="e">
        <f>#REF!</f>
        <v>#REF!</v>
      </c>
      <c r="G35" s="14" t="e">
        <f>#REF!</f>
        <v>#REF!</v>
      </c>
      <c r="H35" s="68" t="e">
        <f>#REF!</f>
        <v>#REF!</v>
      </c>
      <c r="I35" s="14" t="e">
        <f>#REF!</f>
        <v>#REF!</v>
      </c>
      <c r="J35" s="68" t="e">
        <f>#REF!</f>
        <v>#REF!</v>
      </c>
      <c r="K35" s="14" t="e">
        <f>#REF!</f>
        <v>#REF!</v>
      </c>
      <c r="L35" s="68" t="e">
        <f>#REF!</f>
        <v>#REF!</v>
      </c>
      <c r="M35" s="39" t="e">
        <f>#REF!</f>
        <v>#REF!</v>
      </c>
      <c r="N35" s="49"/>
      <c r="O35" s="50"/>
      <c r="P35" s="49"/>
      <c r="Q35" s="50"/>
      <c r="R35" s="49"/>
      <c r="S35" s="50"/>
      <c r="T35" s="49"/>
      <c r="U35" s="50"/>
    </row>
    <row r="36" spans="1:21">
      <c r="A36" s="38" t="e">
        <f>#REF!</f>
        <v>#REF!</v>
      </c>
      <c r="B36" s="19" t="e">
        <f>#REF!</f>
        <v>#REF!</v>
      </c>
      <c r="C36" s="39" t="e">
        <f>#REF!</f>
        <v>#REF!</v>
      </c>
      <c r="D36" s="71" t="e">
        <f>#REF!</f>
        <v>#REF!</v>
      </c>
      <c r="E36" s="14" t="e">
        <f>#REF!</f>
        <v>#REF!</v>
      </c>
      <c r="F36" s="68" t="e">
        <f>#REF!</f>
        <v>#REF!</v>
      </c>
      <c r="G36" s="14" t="e">
        <f>#REF!</f>
        <v>#REF!</v>
      </c>
      <c r="H36" s="68" t="e">
        <f>#REF!</f>
        <v>#REF!</v>
      </c>
      <c r="I36" s="14" t="e">
        <f>#REF!</f>
        <v>#REF!</v>
      </c>
      <c r="J36" s="68" t="e">
        <f>#REF!</f>
        <v>#REF!</v>
      </c>
      <c r="K36" s="14" t="e">
        <f>#REF!</f>
        <v>#REF!</v>
      </c>
      <c r="L36" s="68" t="e">
        <f>#REF!</f>
        <v>#REF!</v>
      </c>
      <c r="M36" s="39" t="e">
        <f>#REF!</f>
        <v>#REF!</v>
      </c>
      <c r="N36" s="49"/>
      <c r="O36" s="50"/>
      <c r="P36" s="49"/>
      <c r="Q36" s="50"/>
      <c r="R36" s="49"/>
      <c r="S36" s="50"/>
      <c r="T36" s="49"/>
      <c r="U36" s="50"/>
    </row>
    <row r="37" spans="1:21">
      <c r="A37" s="38" t="e">
        <f>#REF!</f>
        <v>#REF!</v>
      </c>
      <c r="B37" s="19" t="e">
        <f>#REF!</f>
        <v>#REF!</v>
      </c>
      <c r="C37" s="39" t="e">
        <f>#REF!</f>
        <v>#REF!</v>
      </c>
      <c r="D37" s="71" t="e">
        <f>#REF!</f>
        <v>#REF!</v>
      </c>
      <c r="E37" s="14" t="e">
        <f>#REF!</f>
        <v>#REF!</v>
      </c>
      <c r="F37" s="68" t="e">
        <f>#REF!</f>
        <v>#REF!</v>
      </c>
      <c r="G37" s="14" t="e">
        <f>#REF!</f>
        <v>#REF!</v>
      </c>
      <c r="H37" s="68" t="e">
        <f>#REF!</f>
        <v>#REF!</v>
      </c>
      <c r="I37" s="14" t="e">
        <f>#REF!</f>
        <v>#REF!</v>
      </c>
      <c r="J37" s="68" t="e">
        <f>#REF!</f>
        <v>#REF!</v>
      </c>
      <c r="K37" s="14" t="e">
        <f>#REF!</f>
        <v>#REF!</v>
      </c>
      <c r="L37" s="68" t="e">
        <f>#REF!</f>
        <v>#REF!</v>
      </c>
      <c r="M37" s="39" t="e">
        <f>#REF!</f>
        <v>#REF!</v>
      </c>
      <c r="N37" s="49"/>
      <c r="O37" s="50"/>
      <c r="P37" s="49"/>
      <c r="Q37" s="50"/>
      <c r="R37" s="49"/>
      <c r="S37" s="50"/>
      <c r="T37" s="49"/>
      <c r="U37" s="50"/>
    </row>
    <row r="38" spans="1:21">
      <c r="A38" s="38" t="e">
        <f>#REF!</f>
        <v>#REF!</v>
      </c>
      <c r="B38" s="19" t="e">
        <f>#REF!</f>
        <v>#REF!</v>
      </c>
      <c r="C38" s="39" t="e">
        <f>#REF!</f>
        <v>#REF!</v>
      </c>
      <c r="D38" s="71" t="e">
        <f>#REF!</f>
        <v>#REF!</v>
      </c>
      <c r="E38" s="14" t="e">
        <f>#REF!</f>
        <v>#REF!</v>
      </c>
      <c r="F38" s="68" t="e">
        <f>#REF!</f>
        <v>#REF!</v>
      </c>
      <c r="G38" s="14" t="e">
        <f>#REF!</f>
        <v>#REF!</v>
      </c>
      <c r="H38" s="68" t="e">
        <f>#REF!</f>
        <v>#REF!</v>
      </c>
      <c r="I38" s="14" t="e">
        <f>#REF!</f>
        <v>#REF!</v>
      </c>
      <c r="J38" s="68" t="e">
        <f>#REF!</f>
        <v>#REF!</v>
      </c>
      <c r="K38" s="14" t="e">
        <f>#REF!</f>
        <v>#REF!</v>
      </c>
      <c r="L38" s="68" t="e">
        <f>#REF!</f>
        <v>#REF!</v>
      </c>
      <c r="M38" s="39" t="e">
        <f>#REF!</f>
        <v>#REF!</v>
      </c>
      <c r="N38" s="49"/>
      <c r="O38" s="50"/>
      <c r="P38" s="49"/>
      <c r="Q38" s="50"/>
      <c r="R38" s="49"/>
      <c r="S38" s="50"/>
      <c r="T38" s="49"/>
      <c r="U38" s="50"/>
    </row>
    <row r="39" spans="1:21">
      <c r="A39" s="38" t="e">
        <f>#REF!</f>
        <v>#REF!</v>
      </c>
      <c r="B39" s="19" t="e">
        <f>#REF!</f>
        <v>#REF!</v>
      </c>
      <c r="C39" s="39" t="e">
        <f>#REF!</f>
        <v>#REF!</v>
      </c>
      <c r="D39" s="71" t="e">
        <f>#REF!</f>
        <v>#REF!</v>
      </c>
      <c r="E39" s="14" t="e">
        <f>#REF!</f>
        <v>#REF!</v>
      </c>
      <c r="F39" s="68" t="e">
        <f>#REF!</f>
        <v>#REF!</v>
      </c>
      <c r="G39" s="14" t="e">
        <f>#REF!</f>
        <v>#REF!</v>
      </c>
      <c r="H39" s="68" t="e">
        <f>#REF!</f>
        <v>#REF!</v>
      </c>
      <c r="I39" s="14" t="e">
        <f>#REF!</f>
        <v>#REF!</v>
      </c>
      <c r="J39" s="68" t="e">
        <f>#REF!</f>
        <v>#REF!</v>
      </c>
      <c r="K39" s="14" t="e">
        <f>#REF!</f>
        <v>#REF!</v>
      </c>
      <c r="L39" s="68" t="e">
        <f>#REF!</f>
        <v>#REF!</v>
      </c>
      <c r="M39" s="39" t="e">
        <f>#REF!</f>
        <v>#REF!</v>
      </c>
      <c r="N39" s="49"/>
      <c r="O39" s="50"/>
      <c r="P39" s="49"/>
      <c r="Q39" s="50"/>
      <c r="R39" s="49"/>
      <c r="S39" s="50"/>
      <c r="T39" s="49"/>
      <c r="U39" s="50"/>
    </row>
    <row r="40" spans="1:21">
      <c r="A40" s="38" t="e">
        <f>#REF!</f>
        <v>#REF!</v>
      </c>
      <c r="B40" s="19" t="e">
        <f>#REF!</f>
        <v>#REF!</v>
      </c>
      <c r="C40" s="39" t="e">
        <f>#REF!</f>
        <v>#REF!</v>
      </c>
      <c r="D40" s="71" t="e">
        <f>#REF!</f>
        <v>#REF!</v>
      </c>
      <c r="E40" s="14" t="e">
        <f>#REF!</f>
        <v>#REF!</v>
      </c>
      <c r="F40" s="68" t="e">
        <f>#REF!</f>
        <v>#REF!</v>
      </c>
      <c r="G40" s="14" t="e">
        <f>#REF!</f>
        <v>#REF!</v>
      </c>
      <c r="H40" s="68" t="e">
        <f>#REF!</f>
        <v>#REF!</v>
      </c>
      <c r="I40" s="14" t="e">
        <f>#REF!</f>
        <v>#REF!</v>
      </c>
      <c r="J40" s="68" t="e">
        <f>#REF!</f>
        <v>#REF!</v>
      </c>
      <c r="K40" s="14" t="e">
        <f>#REF!</f>
        <v>#REF!</v>
      </c>
      <c r="L40" s="68" t="e">
        <f>#REF!</f>
        <v>#REF!</v>
      </c>
      <c r="M40" s="39" t="e">
        <f>#REF!</f>
        <v>#REF!</v>
      </c>
      <c r="N40" s="49"/>
      <c r="O40" s="50"/>
      <c r="P40" s="49"/>
      <c r="Q40" s="50"/>
      <c r="R40" s="49"/>
      <c r="S40" s="50"/>
      <c r="T40" s="49"/>
      <c r="U40" s="50"/>
    </row>
    <row r="41" spans="1:21">
      <c r="A41" s="38" t="e">
        <f>#REF!</f>
        <v>#REF!</v>
      </c>
      <c r="B41" s="19" t="e">
        <f>#REF!</f>
        <v>#REF!</v>
      </c>
      <c r="C41" s="39" t="e">
        <f>#REF!</f>
        <v>#REF!</v>
      </c>
      <c r="D41" s="71" t="e">
        <f>#REF!</f>
        <v>#REF!</v>
      </c>
      <c r="E41" s="14" t="e">
        <f>#REF!</f>
        <v>#REF!</v>
      </c>
      <c r="F41" s="68" t="e">
        <f>#REF!</f>
        <v>#REF!</v>
      </c>
      <c r="G41" s="14" t="e">
        <f>#REF!</f>
        <v>#REF!</v>
      </c>
      <c r="H41" s="68" t="e">
        <f>#REF!</f>
        <v>#REF!</v>
      </c>
      <c r="I41" s="14" t="e">
        <f>#REF!</f>
        <v>#REF!</v>
      </c>
      <c r="J41" s="68" t="e">
        <f>#REF!</f>
        <v>#REF!</v>
      </c>
      <c r="K41" s="14" t="e">
        <f>#REF!</f>
        <v>#REF!</v>
      </c>
      <c r="L41" s="68" t="e">
        <f>#REF!</f>
        <v>#REF!</v>
      </c>
      <c r="M41" s="39" t="e">
        <f>#REF!</f>
        <v>#REF!</v>
      </c>
      <c r="N41" s="49"/>
      <c r="O41" s="50"/>
      <c r="P41" s="49"/>
      <c r="Q41" s="50"/>
      <c r="R41" s="49"/>
      <c r="S41" s="50"/>
      <c r="T41" s="49"/>
      <c r="U41" s="50"/>
    </row>
    <row r="42" spans="1:21">
      <c r="A42" s="38" t="e">
        <f>#REF!</f>
        <v>#REF!</v>
      </c>
      <c r="B42" s="19" t="e">
        <f>#REF!</f>
        <v>#REF!</v>
      </c>
      <c r="C42" s="39" t="e">
        <f>#REF!</f>
        <v>#REF!</v>
      </c>
      <c r="D42" s="71" t="e">
        <f>#REF!</f>
        <v>#REF!</v>
      </c>
      <c r="E42" s="14" t="e">
        <f>#REF!</f>
        <v>#REF!</v>
      </c>
      <c r="F42" s="68" t="e">
        <f>#REF!</f>
        <v>#REF!</v>
      </c>
      <c r="G42" s="14" t="e">
        <f>#REF!</f>
        <v>#REF!</v>
      </c>
      <c r="H42" s="68" t="e">
        <f>#REF!</f>
        <v>#REF!</v>
      </c>
      <c r="I42" s="14" t="e">
        <f>#REF!</f>
        <v>#REF!</v>
      </c>
      <c r="J42" s="68" t="e">
        <f>#REF!</f>
        <v>#REF!</v>
      </c>
      <c r="K42" s="14" t="e">
        <f>#REF!</f>
        <v>#REF!</v>
      </c>
      <c r="L42" s="68" t="e">
        <f>#REF!</f>
        <v>#REF!</v>
      </c>
      <c r="M42" s="39" t="e">
        <f>#REF!</f>
        <v>#REF!</v>
      </c>
      <c r="N42" s="49"/>
      <c r="O42" s="50"/>
      <c r="P42" s="49"/>
      <c r="Q42" s="50"/>
      <c r="R42" s="49"/>
      <c r="S42" s="50"/>
      <c r="T42" s="49"/>
      <c r="U42" s="50"/>
    </row>
    <row r="43" spans="1:21">
      <c r="A43" s="38" t="e">
        <f>#REF!</f>
        <v>#REF!</v>
      </c>
      <c r="B43" s="19" t="e">
        <f>#REF!</f>
        <v>#REF!</v>
      </c>
      <c r="C43" s="39" t="e">
        <f>#REF!</f>
        <v>#REF!</v>
      </c>
      <c r="D43" s="71" t="e">
        <f>#REF!</f>
        <v>#REF!</v>
      </c>
      <c r="E43" s="14" t="e">
        <f>#REF!</f>
        <v>#REF!</v>
      </c>
      <c r="F43" s="68" t="e">
        <f>#REF!</f>
        <v>#REF!</v>
      </c>
      <c r="G43" s="14" t="e">
        <f>#REF!</f>
        <v>#REF!</v>
      </c>
      <c r="H43" s="68" t="e">
        <f>#REF!</f>
        <v>#REF!</v>
      </c>
      <c r="I43" s="14" t="e">
        <f>#REF!</f>
        <v>#REF!</v>
      </c>
      <c r="J43" s="68" t="e">
        <f>#REF!</f>
        <v>#REF!</v>
      </c>
      <c r="K43" s="14" t="e">
        <f>#REF!</f>
        <v>#REF!</v>
      </c>
      <c r="L43" s="68" t="e">
        <f>#REF!</f>
        <v>#REF!</v>
      </c>
      <c r="M43" s="39" t="e">
        <f>#REF!</f>
        <v>#REF!</v>
      </c>
      <c r="N43" s="49"/>
      <c r="O43" s="50"/>
      <c r="P43" s="49"/>
      <c r="Q43" s="50"/>
      <c r="R43" s="49"/>
      <c r="S43" s="50"/>
      <c r="T43" s="49"/>
      <c r="U43" s="50"/>
    </row>
    <row r="44" spans="1:21">
      <c r="A44" s="38" t="e">
        <f>#REF!</f>
        <v>#REF!</v>
      </c>
      <c r="B44" s="19" t="e">
        <f>#REF!</f>
        <v>#REF!</v>
      </c>
      <c r="C44" s="39" t="e">
        <f>#REF!</f>
        <v>#REF!</v>
      </c>
      <c r="D44" s="71" t="e">
        <f>#REF!</f>
        <v>#REF!</v>
      </c>
      <c r="E44" s="14" t="e">
        <f>#REF!</f>
        <v>#REF!</v>
      </c>
      <c r="F44" s="68" t="e">
        <f>#REF!</f>
        <v>#REF!</v>
      </c>
      <c r="G44" s="14" t="e">
        <f>#REF!</f>
        <v>#REF!</v>
      </c>
      <c r="H44" s="68" t="e">
        <f>#REF!</f>
        <v>#REF!</v>
      </c>
      <c r="I44" s="14" t="e">
        <f>#REF!</f>
        <v>#REF!</v>
      </c>
      <c r="J44" s="68" t="e">
        <f>#REF!</f>
        <v>#REF!</v>
      </c>
      <c r="K44" s="14" t="e">
        <f>#REF!</f>
        <v>#REF!</v>
      </c>
      <c r="L44" s="68" t="e">
        <f>#REF!</f>
        <v>#REF!</v>
      </c>
      <c r="M44" s="39" t="e">
        <f>#REF!</f>
        <v>#REF!</v>
      </c>
      <c r="N44" s="49"/>
      <c r="O44" s="50"/>
      <c r="P44" s="49"/>
      <c r="Q44" s="50"/>
      <c r="R44" s="49"/>
      <c r="S44" s="50"/>
      <c r="T44" s="49"/>
      <c r="U44" s="50"/>
    </row>
    <row r="45" spans="1:21">
      <c r="A45" s="38" t="e">
        <f>#REF!</f>
        <v>#REF!</v>
      </c>
      <c r="B45" s="19" t="e">
        <f>#REF!</f>
        <v>#REF!</v>
      </c>
      <c r="C45" s="39" t="e">
        <f>#REF!</f>
        <v>#REF!</v>
      </c>
      <c r="D45" s="71" t="e">
        <f>#REF!</f>
        <v>#REF!</v>
      </c>
      <c r="E45" s="14" t="e">
        <f>#REF!</f>
        <v>#REF!</v>
      </c>
      <c r="F45" s="68" t="e">
        <f>#REF!</f>
        <v>#REF!</v>
      </c>
      <c r="G45" s="14" t="e">
        <f>#REF!</f>
        <v>#REF!</v>
      </c>
      <c r="H45" s="68" t="e">
        <f>#REF!</f>
        <v>#REF!</v>
      </c>
      <c r="I45" s="14" t="e">
        <f>#REF!</f>
        <v>#REF!</v>
      </c>
      <c r="J45" s="68" t="e">
        <f>#REF!</f>
        <v>#REF!</v>
      </c>
      <c r="K45" s="14" t="e">
        <f>#REF!</f>
        <v>#REF!</v>
      </c>
      <c r="L45" s="68" t="e">
        <f>#REF!</f>
        <v>#REF!</v>
      </c>
      <c r="M45" s="39" t="e">
        <f>#REF!</f>
        <v>#REF!</v>
      </c>
      <c r="N45" s="49"/>
      <c r="O45" s="50"/>
      <c r="P45" s="49"/>
      <c r="Q45" s="50"/>
      <c r="R45" s="49"/>
      <c r="S45" s="50"/>
      <c r="T45" s="49"/>
      <c r="U45" s="50"/>
    </row>
    <row r="46" spans="1:21" ht="15.75" thickBot="1">
      <c r="A46" s="60" t="e">
        <f>#REF!</f>
        <v>#REF!</v>
      </c>
      <c r="B46" s="61" t="e">
        <f>#REF!</f>
        <v>#REF!</v>
      </c>
      <c r="C46" s="59" t="e">
        <f>#REF!</f>
        <v>#REF!</v>
      </c>
      <c r="D46" s="72" t="e">
        <f>#REF!</f>
        <v>#REF!</v>
      </c>
      <c r="E46" s="57" t="e">
        <f>#REF!</f>
        <v>#REF!</v>
      </c>
      <c r="F46" s="58" t="e">
        <f>#REF!</f>
        <v>#REF!</v>
      </c>
      <c r="G46" s="57" t="e">
        <f>#REF!</f>
        <v>#REF!</v>
      </c>
      <c r="H46" s="58" t="e">
        <f>#REF!</f>
        <v>#REF!</v>
      </c>
      <c r="I46" s="57" t="e">
        <f>#REF!</f>
        <v>#REF!</v>
      </c>
      <c r="J46" s="58" t="e">
        <f>#REF!</f>
        <v>#REF!</v>
      </c>
      <c r="K46" s="57" t="e">
        <f>#REF!</f>
        <v>#REF!</v>
      </c>
      <c r="L46" s="58" t="e">
        <f>#REF!</f>
        <v>#REF!</v>
      </c>
      <c r="M46" s="59" t="e">
        <f>#REF!</f>
        <v>#REF!</v>
      </c>
      <c r="N46" s="49"/>
      <c r="O46" s="50"/>
      <c r="P46" s="49"/>
      <c r="Q46" s="50"/>
      <c r="R46" s="49"/>
      <c r="S46" s="50"/>
      <c r="T46" s="49"/>
      <c r="U46" s="50"/>
    </row>
    <row r="47" spans="1:21">
      <c r="A47" s="30"/>
      <c r="B47" s="23"/>
      <c r="C47" s="23"/>
      <c r="D47" s="65" t="s">
        <v>60</v>
      </c>
      <c r="E47" s="55" t="e">
        <f>SUM(E19:E46)</f>
        <v>#REF!</v>
      </c>
      <c r="F47" s="23"/>
      <c r="G47" s="55" t="e">
        <f>SUM(G19:G46)</f>
        <v>#REF!</v>
      </c>
      <c r="H47" s="23"/>
      <c r="I47" s="55" t="e">
        <f>SUM(I19:I46)</f>
        <v>#REF!</v>
      </c>
      <c r="J47" s="23"/>
      <c r="K47" s="55" t="e">
        <f>SUM(K19:K46)</f>
        <v>#REF!</v>
      </c>
      <c r="L47" s="40"/>
      <c r="M47" s="56" t="e">
        <f>SUM(M19:M46)</f>
        <v>#REF!</v>
      </c>
      <c r="N47" s="40"/>
      <c r="O47" s="51"/>
      <c r="P47" s="40"/>
      <c r="Q47" s="51"/>
      <c r="R47" s="40"/>
      <c r="S47" s="51"/>
      <c r="T47" s="40" t="e">
        <f>E47+G47+I47+K47</f>
        <v>#REF!</v>
      </c>
      <c r="U47" s="51"/>
    </row>
    <row r="48" spans="1:21">
      <c r="A48" s="30"/>
      <c r="B48" s="23"/>
      <c r="C48" s="23"/>
      <c r="D48" s="65" t="s">
        <v>61</v>
      </c>
      <c r="E48" s="24" t="e">
        <f>ROUND(E47*0.1,0)</f>
        <v>#REF!</v>
      </c>
      <c r="F48" s="23"/>
      <c r="G48" s="24" t="e">
        <f>ROUND(G47*0.1,0)</f>
        <v>#REF!</v>
      </c>
      <c r="H48" s="23"/>
      <c r="I48" s="24" t="e">
        <f>ROUND(I47*0.1,0)</f>
        <v>#REF!</v>
      </c>
      <c r="J48" s="23"/>
      <c r="K48" s="24" t="e">
        <f>ROUND(K47*0.1,0)</f>
        <v>#REF!</v>
      </c>
      <c r="L48" s="23"/>
      <c r="M48" s="41" t="e">
        <f>ROUND(M47*0.1,0)</f>
        <v>#REF!</v>
      </c>
      <c r="O48" s="52"/>
      <c r="Q48" s="52"/>
      <c r="S48" s="52"/>
      <c r="T48" s="40" t="e">
        <f>E48+G48+I48+K48</f>
        <v>#REF!</v>
      </c>
      <c r="U48" s="52"/>
    </row>
    <row r="49" spans="1:21" ht="15.75" thickBot="1">
      <c r="A49" s="42"/>
      <c r="B49" s="43"/>
      <c r="C49" s="43"/>
      <c r="D49" s="66" t="s">
        <v>62</v>
      </c>
      <c r="E49" s="44" t="e">
        <f>E47+E48</f>
        <v>#REF!</v>
      </c>
      <c r="F49" s="43"/>
      <c r="G49" s="44" t="e">
        <f>G47+G48</f>
        <v>#REF!</v>
      </c>
      <c r="H49" s="43"/>
      <c r="I49" s="44" t="e">
        <f>I47+I48</f>
        <v>#REF!</v>
      </c>
      <c r="J49" s="43"/>
      <c r="K49" s="44" t="e">
        <f>K47+K48</f>
        <v>#REF!</v>
      </c>
      <c r="L49" s="43"/>
      <c r="M49" s="45" t="e">
        <f>M47+M48</f>
        <v>#REF!</v>
      </c>
      <c r="O49" s="52"/>
      <c r="Q49" s="52"/>
      <c r="S49" s="52"/>
      <c r="T49" s="40" t="e">
        <f>E49+G49+I49+K49</f>
        <v>#REF!</v>
      </c>
      <c r="U49" s="52"/>
    </row>
    <row r="50" spans="1:21">
      <c r="T50" s="53"/>
      <c r="U50" s="51"/>
    </row>
    <row r="52" spans="1:21" ht="15.75" thickBot="1"/>
    <row r="53" spans="1:21" ht="15.75" thickBot="1">
      <c r="C53" s="3"/>
      <c r="D53" s="214" t="s">
        <v>15</v>
      </c>
      <c r="E53" s="216"/>
      <c r="F53" s="214" t="s">
        <v>16</v>
      </c>
      <c r="G53" s="215"/>
      <c r="H53" s="216" t="s">
        <v>17</v>
      </c>
      <c r="I53" s="215"/>
      <c r="J53" s="236" t="s">
        <v>29</v>
      </c>
      <c r="K53" s="237"/>
    </row>
    <row r="54" spans="1:21" ht="15.75" thickBot="1">
      <c r="A54" s="2"/>
      <c r="B54" s="4"/>
      <c r="C54" s="3"/>
      <c r="D54" s="30"/>
      <c r="E54" s="23"/>
      <c r="F54" s="30"/>
      <c r="G54" s="31"/>
      <c r="H54" s="29"/>
      <c r="I54" s="13"/>
      <c r="J54" s="26"/>
      <c r="K54" s="27"/>
    </row>
    <row r="55" spans="1:21" ht="15" customHeight="1">
      <c r="A55" s="217" t="s">
        <v>4</v>
      </c>
      <c r="B55" s="219" t="s">
        <v>6</v>
      </c>
      <c r="C55" s="243" t="s">
        <v>7</v>
      </c>
      <c r="D55" s="232" t="s">
        <v>5</v>
      </c>
      <c r="E55" s="230" t="s">
        <v>8</v>
      </c>
      <c r="F55" s="232" t="s">
        <v>5</v>
      </c>
      <c r="G55" s="211" t="s">
        <v>8</v>
      </c>
      <c r="H55" s="229" t="s">
        <v>5</v>
      </c>
      <c r="I55" s="211" t="s">
        <v>8</v>
      </c>
      <c r="J55" s="238" t="s">
        <v>5</v>
      </c>
      <c r="K55" s="234" t="s">
        <v>8</v>
      </c>
    </row>
    <row r="56" spans="1:21" ht="15.75" thickBot="1">
      <c r="A56" s="218"/>
      <c r="B56" s="220"/>
      <c r="C56" s="244"/>
      <c r="D56" s="233"/>
      <c r="E56" s="231"/>
      <c r="F56" s="233"/>
      <c r="G56" s="212"/>
      <c r="H56" s="227"/>
      <c r="I56" s="212"/>
      <c r="J56" s="239"/>
      <c r="K56" s="235"/>
    </row>
    <row r="57" spans="1:21">
      <c r="A57" s="32" t="e">
        <f>#REF!</f>
        <v>#REF!</v>
      </c>
      <c r="B57" s="73" t="e">
        <f>#REF!</f>
        <v>#REF!</v>
      </c>
      <c r="C57" s="74" t="e">
        <f>#REF!</f>
        <v>#REF!</v>
      </c>
      <c r="D57" s="62" t="e">
        <f>#REF!</f>
        <v>#REF!</v>
      </c>
      <c r="E57" s="34" t="e">
        <f>#REF!</f>
        <v>#REF!</v>
      </c>
      <c r="F57" s="36" t="e">
        <f>#REF!</f>
        <v>#REF!</v>
      </c>
      <c r="G57" s="34" t="e">
        <f>#REF!</f>
        <v>#REF!</v>
      </c>
      <c r="H57" s="36" t="e">
        <f>#REF!</f>
        <v>#REF!</v>
      </c>
      <c r="I57" s="34" t="e">
        <f>#REF!</f>
        <v>#REF!</v>
      </c>
      <c r="J57" s="36"/>
      <c r="K57" s="37" t="e">
        <f>#REF!</f>
        <v>#REF!</v>
      </c>
    </row>
    <row r="58" spans="1:21">
      <c r="A58" s="38" t="e">
        <f>#REF!</f>
        <v>#REF!</v>
      </c>
      <c r="B58" s="18" t="e">
        <f>#REF!</f>
        <v>#REF!</v>
      </c>
      <c r="C58" s="75" t="e">
        <f>#REF!</f>
        <v>#REF!</v>
      </c>
      <c r="D58" s="54" t="e">
        <f>#REF!</f>
        <v>#REF!</v>
      </c>
      <c r="E58" s="14" t="e">
        <f>#REF!</f>
        <v>#REF!</v>
      </c>
      <c r="F58" s="17" t="e">
        <f>#REF!</f>
        <v>#REF!</v>
      </c>
      <c r="G58" s="14" t="e">
        <f>#REF!</f>
        <v>#REF!</v>
      </c>
      <c r="H58" s="17" t="e">
        <f>#REF!</f>
        <v>#REF!</v>
      </c>
      <c r="I58" s="14" t="e">
        <f>#REF!</f>
        <v>#REF!</v>
      </c>
      <c r="J58" s="17"/>
      <c r="K58" s="39" t="e">
        <f>#REF!</f>
        <v>#REF!</v>
      </c>
    </row>
    <row r="59" spans="1:21">
      <c r="A59" s="38" t="e">
        <f>#REF!</f>
        <v>#REF!</v>
      </c>
      <c r="B59" s="18" t="e">
        <f>#REF!</f>
        <v>#REF!</v>
      </c>
      <c r="C59" s="75" t="e">
        <f>#REF!</f>
        <v>#REF!</v>
      </c>
      <c r="D59" s="54" t="e">
        <f>#REF!</f>
        <v>#REF!</v>
      </c>
      <c r="E59" s="14" t="e">
        <f>#REF!</f>
        <v>#REF!</v>
      </c>
      <c r="F59" s="17" t="e">
        <f>#REF!</f>
        <v>#REF!</v>
      </c>
      <c r="G59" s="14" t="e">
        <f>#REF!</f>
        <v>#REF!</v>
      </c>
      <c r="H59" s="17" t="e">
        <f>#REF!</f>
        <v>#REF!</v>
      </c>
      <c r="I59" s="14" t="e">
        <f>#REF!</f>
        <v>#REF!</v>
      </c>
      <c r="J59" s="17"/>
      <c r="K59" s="39" t="e">
        <f>#REF!</f>
        <v>#REF!</v>
      </c>
    </row>
    <row r="60" spans="1:21">
      <c r="A60" s="38" t="e">
        <f>#REF!</f>
        <v>#REF!</v>
      </c>
      <c r="B60" s="18" t="e">
        <f>#REF!</f>
        <v>#REF!</v>
      </c>
      <c r="C60" s="75" t="e">
        <f>#REF!</f>
        <v>#REF!</v>
      </c>
      <c r="D60" s="54" t="e">
        <f>#REF!</f>
        <v>#REF!</v>
      </c>
      <c r="E60" s="14" t="e">
        <f>#REF!</f>
        <v>#REF!</v>
      </c>
      <c r="F60" s="17" t="e">
        <f>#REF!</f>
        <v>#REF!</v>
      </c>
      <c r="G60" s="14" t="e">
        <f>#REF!</f>
        <v>#REF!</v>
      </c>
      <c r="H60" s="17" t="e">
        <f>#REF!</f>
        <v>#REF!</v>
      </c>
      <c r="I60" s="14" t="e">
        <f>#REF!</f>
        <v>#REF!</v>
      </c>
      <c r="J60" s="17"/>
      <c r="K60" s="39" t="e">
        <f>#REF!</f>
        <v>#REF!</v>
      </c>
    </row>
    <row r="61" spans="1:21">
      <c r="A61" s="38" t="e">
        <f>#REF!</f>
        <v>#REF!</v>
      </c>
      <c r="B61" s="18" t="e">
        <f>#REF!</f>
        <v>#REF!</v>
      </c>
      <c r="C61" s="75" t="e">
        <f>#REF!</f>
        <v>#REF!</v>
      </c>
      <c r="D61" s="54"/>
      <c r="E61" s="14"/>
      <c r="F61" s="17"/>
      <c r="G61" s="14"/>
      <c r="H61" s="17"/>
      <c r="I61" s="14"/>
      <c r="J61" s="17"/>
      <c r="K61" s="39" t="e">
        <f>#REF!</f>
        <v>#REF!</v>
      </c>
    </row>
    <row r="62" spans="1:21">
      <c r="A62" s="38" t="e">
        <f>#REF!</f>
        <v>#REF!</v>
      </c>
      <c r="B62" s="18" t="e">
        <f>#REF!</f>
        <v>#REF!</v>
      </c>
      <c r="C62" s="75" t="e">
        <f>#REF!</f>
        <v>#REF!</v>
      </c>
      <c r="D62" s="54" t="e">
        <f>#REF!</f>
        <v>#REF!</v>
      </c>
      <c r="E62" s="14" t="e">
        <f>#REF!</f>
        <v>#REF!</v>
      </c>
      <c r="F62" s="17"/>
      <c r="G62" s="14"/>
      <c r="H62" s="17"/>
      <c r="I62" s="14"/>
      <c r="J62" s="17"/>
      <c r="K62" s="39" t="e">
        <f>#REF!</f>
        <v>#REF!</v>
      </c>
      <c r="T62" s="40" t="e">
        <f>E48+G48+I48+K48+M48+E86+G86+I86+K86</f>
        <v>#REF!</v>
      </c>
    </row>
    <row r="63" spans="1:21">
      <c r="A63" s="38" t="e">
        <f>#REF!</f>
        <v>#REF!</v>
      </c>
      <c r="B63" s="18" t="e">
        <f>#REF!</f>
        <v>#REF!</v>
      </c>
      <c r="C63" s="75" t="e">
        <f>#REF!</f>
        <v>#REF!</v>
      </c>
      <c r="D63" s="54" t="e">
        <f>#REF!</f>
        <v>#REF!</v>
      </c>
      <c r="E63" s="14" t="e">
        <f>#REF!</f>
        <v>#REF!</v>
      </c>
      <c r="F63" s="17" t="e">
        <f>#REF!</f>
        <v>#REF!</v>
      </c>
      <c r="G63" s="14" t="e">
        <f>#REF!</f>
        <v>#REF!</v>
      </c>
      <c r="H63" s="17" t="e">
        <f>#REF!</f>
        <v>#REF!</v>
      </c>
      <c r="I63" s="14" t="e">
        <f>#REF!</f>
        <v>#REF!</v>
      </c>
      <c r="J63" s="17"/>
      <c r="K63" s="39" t="e">
        <f>#REF!</f>
        <v>#REF!</v>
      </c>
      <c r="T63" s="40" t="e">
        <f>E49+G49+I49+K49+M49+E87+G87+I87+K87</f>
        <v>#REF!</v>
      </c>
    </row>
    <row r="64" spans="1:21">
      <c r="A64" s="38" t="e">
        <f>#REF!</f>
        <v>#REF!</v>
      </c>
      <c r="B64" s="18" t="e">
        <f>#REF!</f>
        <v>#REF!</v>
      </c>
      <c r="C64" s="75" t="e">
        <f>#REF!</f>
        <v>#REF!</v>
      </c>
      <c r="D64" s="54" t="e">
        <f>#REF!</f>
        <v>#REF!</v>
      </c>
      <c r="E64" s="14" t="e">
        <f>#REF!</f>
        <v>#REF!</v>
      </c>
      <c r="F64" s="17" t="e">
        <f>#REF!</f>
        <v>#REF!</v>
      </c>
      <c r="G64" s="14" t="e">
        <f>#REF!</f>
        <v>#REF!</v>
      </c>
      <c r="H64" s="17"/>
      <c r="I64" s="14"/>
      <c r="J64" s="17"/>
      <c r="K64" s="39" t="e">
        <f>#REF!</f>
        <v>#REF!</v>
      </c>
    </row>
    <row r="65" spans="1:11">
      <c r="A65" s="38" t="e">
        <f>#REF!</f>
        <v>#REF!</v>
      </c>
      <c r="B65" s="18" t="e">
        <f>#REF!</f>
        <v>#REF!</v>
      </c>
      <c r="C65" s="75" t="e">
        <f>#REF!</f>
        <v>#REF!</v>
      </c>
      <c r="D65" s="54" t="e">
        <f>#REF!</f>
        <v>#REF!</v>
      </c>
      <c r="E65" s="14" t="e">
        <f>#REF!</f>
        <v>#REF!</v>
      </c>
      <c r="F65" s="17" t="e">
        <f>#REF!</f>
        <v>#REF!</v>
      </c>
      <c r="G65" s="14" t="e">
        <f>#REF!</f>
        <v>#REF!</v>
      </c>
      <c r="H65" s="17" t="e">
        <f>#REF!</f>
        <v>#REF!</v>
      </c>
      <c r="I65" s="14" t="e">
        <f>#REF!</f>
        <v>#REF!</v>
      </c>
      <c r="J65" s="17"/>
      <c r="K65" s="39" t="e">
        <f>#REF!</f>
        <v>#REF!</v>
      </c>
    </row>
    <row r="66" spans="1:11">
      <c r="A66" s="38" t="e">
        <f>#REF!</f>
        <v>#REF!</v>
      </c>
      <c r="B66" s="18" t="e">
        <f>#REF!</f>
        <v>#REF!</v>
      </c>
      <c r="C66" s="75" t="e">
        <f>#REF!</f>
        <v>#REF!</v>
      </c>
      <c r="D66" s="54"/>
      <c r="E66" s="14"/>
      <c r="F66" s="17"/>
      <c r="G66" s="14"/>
      <c r="H66" s="17"/>
      <c r="I66" s="14"/>
      <c r="J66" s="17"/>
      <c r="K66" s="39" t="e">
        <f>#REF!</f>
        <v>#REF!</v>
      </c>
    </row>
    <row r="67" spans="1:11">
      <c r="A67" s="38" t="e">
        <f>#REF!</f>
        <v>#REF!</v>
      </c>
      <c r="B67" s="18" t="e">
        <f>#REF!</f>
        <v>#REF!</v>
      </c>
      <c r="C67" s="75" t="e">
        <f>#REF!</f>
        <v>#REF!</v>
      </c>
      <c r="D67" s="54"/>
      <c r="E67" s="14"/>
      <c r="F67" s="17"/>
      <c r="G67" s="14"/>
      <c r="H67" s="17"/>
      <c r="I67" s="14"/>
      <c r="J67" s="17"/>
      <c r="K67" s="39" t="e">
        <f>#REF!</f>
        <v>#REF!</v>
      </c>
    </row>
    <row r="68" spans="1:11">
      <c r="A68" s="38" t="e">
        <f>#REF!</f>
        <v>#REF!</v>
      </c>
      <c r="B68" s="18" t="e">
        <f>#REF!</f>
        <v>#REF!</v>
      </c>
      <c r="C68" s="75" t="e">
        <f>#REF!</f>
        <v>#REF!</v>
      </c>
      <c r="D68" s="54" t="e">
        <f>#REF!</f>
        <v>#REF!</v>
      </c>
      <c r="E68" s="14" t="e">
        <f>#REF!</f>
        <v>#REF!</v>
      </c>
      <c r="F68" s="17" t="e">
        <f>#REF!</f>
        <v>#REF!</v>
      </c>
      <c r="G68" s="14" t="e">
        <f>#REF!</f>
        <v>#REF!</v>
      </c>
      <c r="H68" s="17" t="e">
        <f>#REF!</f>
        <v>#REF!</v>
      </c>
      <c r="I68" s="14" t="e">
        <f>#REF!</f>
        <v>#REF!</v>
      </c>
      <c r="J68" s="17"/>
      <c r="K68" s="39" t="e">
        <f>#REF!</f>
        <v>#REF!</v>
      </c>
    </row>
    <row r="69" spans="1:11">
      <c r="A69" s="38" t="e">
        <f>#REF!</f>
        <v>#REF!</v>
      </c>
      <c r="B69" s="18" t="e">
        <f>#REF!</f>
        <v>#REF!</v>
      </c>
      <c r="C69" s="75" t="e">
        <f>#REF!</f>
        <v>#REF!</v>
      </c>
      <c r="D69" s="54" t="e">
        <f>#REF!</f>
        <v>#REF!</v>
      </c>
      <c r="E69" s="14" t="e">
        <f>#REF!</f>
        <v>#REF!</v>
      </c>
      <c r="F69" s="17" t="e">
        <f>#REF!</f>
        <v>#REF!</v>
      </c>
      <c r="G69" s="14" t="e">
        <f>#REF!</f>
        <v>#REF!</v>
      </c>
      <c r="H69" s="17" t="e">
        <f>#REF!</f>
        <v>#REF!</v>
      </c>
      <c r="I69" s="14" t="e">
        <f>#REF!</f>
        <v>#REF!</v>
      </c>
      <c r="J69" s="17"/>
      <c r="K69" s="39" t="e">
        <f>#REF!</f>
        <v>#REF!</v>
      </c>
    </row>
    <row r="70" spans="1:11">
      <c r="A70" s="38" t="e">
        <f>#REF!</f>
        <v>#REF!</v>
      </c>
      <c r="B70" s="18" t="e">
        <f>#REF!</f>
        <v>#REF!</v>
      </c>
      <c r="C70" s="75" t="e">
        <f>#REF!</f>
        <v>#REF!</v>
      </c>
      <c r="D70" s="54" t="e">
        <f>#REF!</f>
        <v>#REF!</v>
      </c>
      <c r="E70" s="14" t="e">
        <f>#REF!</f>
        <v>#REF!</v>
      </c>
      <c r="F70" s="17" t="e">
        <f>#REF!</f>
        <v>#REF!</v>
      </c>
      <c r="G70" s="14" t="e">
        <f>#REF!</f>
        <v>#REF!</v>
      </c>
      <c r="H70" s="17" t="e">
        <f>#REF!</f>
        <v>#REF!</v>
      </c>
      <c r="I70" s="14" t="e">
        <f>#REF!</f>
        <v>#REF!</v>
      </c>
      <c r="J70" s="17" t="e">
        <f>#REF!</f>
        <v>#REF!</v>
      </c>
      <c r="K70" s="39" t="e">
        <f>#REF!</f>
        <v>#REF!</v>
      </c>
    </row>
    <row r="71" spans="1:11">
      <c r="A71" s="38" t="e">
        <f>#REF!</f>
        <v>#REF!</v>
      </c>
      <c r="B71" s="18" t="e">
        <f>#REF!</f>
        <v>#REF!</v>
      </c>
      <c r="C71" s="75" t="e">
        <f>#REF!</f>
        <v>#REF!</v>
      </c>
      <c r="D71" s="54"/>
      <c r="E71" s="14"/>
      <c r="F71" s="17"/>
      <c r="G71" s="14"/>
      <c r="H71" s="17"/>
      <c r="I71" s="14"/>
      <c r="J71" s="17"/>
      <c r="K71" s="39" t="e">
        <f>#REF!</f>
        <v>#REF!</v>
      </c>
    </row>
    <row r="72" spans="1:11">
      <c r="A72" s="38" t="e">
        <f>#REF!</f>
        <v>#REF!</v>
      </c>
      <c r="B72" s="18" t="e">
        <f>#REF!</f>
        <v>#REF!</v>
      </c>
      <c r="C72" s="75" t="e">
        <f>#REF!</f>
        <v>#REF!</v>
      </c>
      <c r="D72" s="54" t="e">
        <f>#REF!</f>
        <v>#REF!</v>
      </c>
      <c r="E72" s="14" t="e">
        <f>#REF!</f>
        <v>#REF!</v>
      </c>
      <c r="F72" s="17" t="e">
        <f>#REF!</f>
        <v>#REF!</v>
      </c>
      <c r="G72" s="14" t="e">
        <f>#REF!</f>
        <v>#REF!</v>
      </c>
      <c r="H72" s="17"/>
      <c r="I72" s="14"/>
      <c r="J72" s="17"/>
      <c r="K72" s="39" t="e">
        <f>#REF!</f>
        <v>#REF!</v>
      </c>
    </row>
    <row r="73" spans="1:11">
      <c r="A73" s="38" t="e">
        <f>#REF!</f>
        <v>#REF!</v>
      </c>
      <c r="B73" s="18" t="e">
        <f>#REF!</f>
        <v>#REF!</v>
      </c>
      <c r="C73" s="75" t="e">
        <f>#REF!</f>
        <v>#REF!</v>
      </c>
      <c r="D73" s="54" t="e">
        <f>#REF!</f>
        <v>#REF!</v>
      </c>
      <c r="E73" s="14" t="e">
        <f>#REF!</f>
        <v>#REF!</v>
      </c>
      <c r="F73" s="17" t="e">
        <f>#REF!</f>
        <v>#REF!</v>
      </c>
      <c r="G73" s="14" t="e">
        <f>#REF!</f>
        <v>#REF!</v>
      </c>
      <c r="H73" s="17" t="e">
        <f>#REF!</f>
        <v>#REF!</v>
      </c>
      <c r="I73" s="14" t="e">
        <f>#REF!</f>
        <v>#REF!</v>
      </c>
      <c r="J73" s="17"/>
      <c r="K73" s="39" t="e">
        <f>#REF!</f>
        <v>#REF!</v>
      </c>
    </row>
    <row r="74" spans="1:11">
      <c r="A74" s="38" t="e">
        <f>#REF!</f>
        <v>#REF!</v>
      </c>
      <c r="B74" s="18" t="e">
        <f>#REF!</f>
        <v>#REF!</v>
      </c>
      <c r="C74" s="75" t="e">
        <f>#REF!</f>
        <v>#REF!</v>
      </c>
      <c r="D74" s="54"/>
      <c r="E74" s="14"/>
      <c r="F74" s="17"/>
      <c r="G74" s="14"/>
      <c r="H74" s="17"/>
      <c r="I74" s="14"/>
      <c r="J74" s="17"/>
      <c r="K74" s="39" t="e">
        <f>#REF!</f>
        <v>#REF!</v>
      </c>
    </row>
    <row r="75" spans="1:11">
      <c r="A75" s="38" t="e">
        <f>#REF!</f>
        <v>#REF!</v>
      </c>
      <c r="B75" s="18" t="e">
        <f>#REF!</f>
        <v>#REF!</v>
      </c>
      <c r="C75" s="75" t="e">
        <f>#REF!</f>
        <v>#REF!</v>
      </c>
      <c r="D75" s="54" t="e">
        <f>#REF!</f>
        <v>#REF!</v>
      </c>
      <c r="E75" s="14" t="e">
        <f>#REF!</f>
        <v>#REF!</v>
      </c>
      <c r="F75" s="17" t="e">
        <f>#REF!</f>
        <v>#REF!</v>
      </c>
      <c r="G75" s="14" t="e">
        <f>#REF!</f>
        <v>#REF!</v>
      </c>
      <c r="H75" s="17"/>
      <c r="I75" s="14"/>
      <c r="J75" s="17"/>
      <c r="K75" s="39" t="e">
        <f>#REF!</f>
        <v>#REF!</v>
      </c>
    </row>
    <row r="76" spans="1:11">
      <c r="A76" s="38" t="e">
        <f>#REF!</f>
        <v>#REF!</v>
      </c>
      <c r="B76" s="18" t="e">
        <f>#REF!</f>
        <v>#REF!</v>
      </c>
      <c r="C76" s="75" t="e">
        <f>#REF!</f>
        <v>#REF!</v>
      </c>
      <c r="D76" s="54" t="e">
        <f>#REF!</f>
        <v>#REF!</v>
      </c>
      <c r="E76" s="14" t="e">
        <f>#REF!</f>
        <v>#REF!</v>
      </c>
      <c r="F76" s="17" t="e">
        <f>#REF!</f>
        <v>#REF!</v>
      </c>
      <c r="G76" s="14" t="e">
        <f>#REF!</f>
        <v>#REF!</v>
      </c>
      <c r="H76" s="17" t="e">
        <f>#REF!</f>
        <v>#REF!</v>
      </c>
      <c r="I76" s="14" t="e">
        <f>#REF!</f>
        <v>#REF!</v>
      </c>
      <c r="J76" s="17"/>
      <c r="K76" s="39" t="e">
        <f>#REF!</f>
        <v>#REF!</v>
      </c>
    </row>
    <row r="77" spans="1:11">
      <c r="A77" s="38" t="e">
        <f>#REF!</f>
        <v>#REF!</v>
      </c>
      <c r="B77" s="18" t="e">
        <f>#REF!</f>
        <v>#REF!</v>
      </c>
      <c r="C77" s="75" t="e">
        <f>#REF!</f>
        <v>#REF!</v>
      </c>
      <c r="D77" s="54" t="e">
        <f>#REF!</f>
        <v>#REF!</v>
      </c>
      <c r="E77" s="14" t="e">
        <f>#REF!</f>
        <v>#REF!</v>
      </c>
      <c r="F77" s="17" t="e">
        <f>#REF!</f>
        <v>#REF!</v>
      </c>
      <c r="G77" s="14" t="e">
        <f>#REF!</f>
        <v>#REF!</v>
      </c>
      <c r="H77" s="17" t="e">
        <f>#REF!</f>
        <v>#REF!</v>
      </c>
      <c r="I77" s="14" t="e">
        <f>#REF!</f>
        <v>#REF!</v>
      </c>
      <c r="J77" s="17"/>
      <c r="K77" s="39" t="e">
        <f>#REF!</f>
        <v>#REF!</v>
      </c>
    </row>
    <row r="78" spans="1:11">
      <c r="A78" s="38" t="e">
        <f>#REF!</f>
        <v>#REF!</v>
      </c>
      <c r="B78" s="18" t="e">
        <f>#REF!</f>
        <v>#REF!</v>
      </c>
      <c r="C78" s="75" t="e">
        <f>#REF!</f>
        <v>#REF!</v>
      </c>
      <c r="D78" s="54"/>
      <c r="E78" s="14" t="e">
        <f>#REF!</f>
        <v>#REF!</v>
      </c>
      <c r="F78" s="17"/>
      <c r="G78" s="14" t="e">
        <f>#REF!</f>
        <v>#REF!</v>
      </c>
      <c r="H78" s="17"/>
      <c r="I78" s="14" t="e">
        <f>#REF!</f>
        <v>#REF!</v>
      </c>
      <c r="J78" s="17"/>
      <c r="K78" s="39" t="e">
        <f>#REF!</f>
        <v>#REF!</v>
      </c>
    </row>
    <row r="79" spans="1:11">
      <c r="A79" s="38" t="e">
        <f>#REF!</f>
        <v>#REF!</v>
      </c>
      <c r="B79" s="18" t="e">
        <f>#REF!</f>
        <v>#REF!</v>
      </c>
      <c r="C79" s="75" t="e">
        <f>#REF!</f>
        <v>#REF!</v>
      </c>
      <c r="D79" s="54"/>
      <c r="E79" s="14" t="e">
        <f>#REF!</f>
        <v>#REF!</v>
      </c>
      <c r="F79" s="17"/>
      <c r="G79" s="14" t="e">
        <f>#REF!</f>
        <v>#REF!</v>
      </c>
      <c r="H79" s="17"/>
      <c r="I79" s="14" t="e">
        <f>#REF!</f>
        <v>#REF!</v>
      </c>
      <c r="J79" s="17"/>
      <c r="K79" s="39" t="e">
        <f>#REF!</f>
        <v>#REF!</v>
      </c>
    </row>
    <row r="80" spans="1:11">
      <c r="A80" s="38" t="e">
        <f>#REF!</f>
        <v>#REF!</v>
      </c>
      <c r="B80" s="18" t="e">
        <f>#REF!</f>
        <v>#REF!</v>
      </c>
      <c r="C80" s="75" t="e">
        <f>#REF!</f>
        <v>#REF!</v>
      </c>
      <c r="D80" s="54"/>
      <c r="E80" s="14" t="e">
        <f>#REF!</f>
        <v>#REF!</v>
      </c>
      <c r="F80" s="17"/>
      <c r="G80" s="14" t="e">
        <f>#REF!</f>
        <v>#REF!</v>
      </c>
      <c r="H80" s="17"/>
      <c r="I80" s="14" t="e">
        <f>#REF!</f>
        <v>#REF!</v>
      </c>
      <c r="J80" s="17"/>
      <c r="K80" s="39" t="e">
        <f>#REF!</f>
        <v>#REF!</v>
      </c>
    </row>
    <row r="81" spans="1:21">
      <c r="A81" s="38" t="e">
        <f>#REF!</f>
        <v>#REF!</v>
      </c>
      <c r="B81" s="18" t="e">
        <f>#REF!</f>
        <v>#REF!</v>
      </c>
      <c r="C81" s="75" t="e">
        <f>#REF!</f>
        <v>#REF!</v>
      </c>
      <c r="D81" s="54"/>
      <c r="E81" s="14" t="e">
        <f>#REF!</f>
        <v>#REF!</v>
      </c>
      <c r="F81" s="17"/>
      <c r="G81" s="14" t="e">
        <f>#REF!</f>
        <v>#REF!</v>
      </c>
      <c r="H81" s="17"/>
      <c r="I81" s="14" t="e">
        <f>#REF!</f>
        <v>#REF!</v>
      </c>
      <c r="J81" s="17"/>
      <c r="K81" s="39" t="e">
        <f>#REF!</f>
        <v>#REF!</v>
      </c>
    </row>
    <row r="82" spans="1:21">
      <c r="A82" s="38" t="e">
        <f>#REF!</f>
        <v>#REF!</v>
      </c>
      <c r="B82" s="18" t="e">
        <f>#REF!</f>
        <v>#REF!</v>
      </c>
      <c r="C82" s="75" t="e">
        <f>#REF!</f>
        <v>#REF!</v>
      </c>
      <c r="D82" s="54"/>
      <c r="E82" s="14" t="e">
        <f>#REF!</f>
        <v>#REF!</v>
      </c>
      <c r="F82" s="17"/>
      <c r="G82" s="14" t="e">
        <f>#REF!</f>
        <v>#REF!</v>
      </c>
      <c r="H82" s="17"/>
      <c r="I82" s="14" t="e">
        <f>#REF!</f>
        <v>#REF!</v>
      </c>
      <c r="J82" s="17" t="e">
        <f>#REF!</f>
        <v>#REF!</v>
      </c>
      <c r="K82" s="39" t="e">
        <f>#REF!</f>
        <v>#REF!</v>
      </c>
    </row>
    <row r="83" spans="1:21">
      <c r="A83" s="38" t="e">
        <f>#REF!</f>
        <v>#REF!</v>
      </c>
      <c r="B83" s="18" t="e">
        <f>#REF!</f>
        <v>#REF!</v>
      </c>
      <c r="C83" s="75" t="e">
        <f>#REF!</f>
        <v>#REF!</v>
      </c>
      <c r="D83" s="54" t="e">
        <f>#REF!</f>
        <v>#REF!</v>
      </c>
      <c r="E83" s="14" t="e">
        <f>#REF!</f>
        <v>#REF!</v>
      </c>
      <c r="F83" s="17" t="e">
        <f>#REF!</f>
        <v>#REF!</v>
      </c>
      <c r="G83" s="14" t="e">
        <f>#REF!</f>
        <v>#REF!</v>
      </c>
      <c r="H83" s="17" t="e">
        <f>#REF!</f>
        <v>#REF!</v>
      </c>
      <c r="I83" s="14" t="e">
        <f>#REF!</f>
        <v>#REF!</v>
      </c>
      <c r="J83" s="17"/>
      <c r="K83" s="39" t="e">
        <f>#REF!</f>
        <v>#REF!</v>
      </c>
    </row>
    <row r="84" spans="1:21" ht="15.75" thickBot="1">
      <c r="A84" s="60" t="e">
        <f>#REF!</f>
        <v>#REF!</v>
      </c>
      <c r="B84" s="76" t="e">
        <f>#REF!</f>
        <v>#REF!</v>
      </c>
      <c r="C84" s="77" t="e">
        <f>#REF!</f>
        <v>#REF!</v>
      </c>
      <c r="D84" s="63" t="e">
        <f>#REF!</f>
        <v>#REF!</v>
      </c>
      <c r="E84" s="57" t="e">
        <f>#REF!</f>
        <v>#REF!</v>
      </c>
      <c r="F84" s="64" t="e">
        <f>#REF!</f>
        <v>#REF!</v>
      </c>
      <c r="G84" s="57" t="e">
        <f>#REF!</f>
        <v>#REF!</v>
      </c>
      <c r="H84" s="64" t="e">
        <f>#REF!</f>
        <v>#REF!</v>
      </c>
      <c r="I84" s="57" t="e">
        <f>#REF!</f>
        <v>#REF!</v>
      </c>
      <c r="J84" s="64"/>
      <c r="K84" s="59" t="e">
        <f>#REF!</f>
        <v>#REF!</v>
      </c>
    </row>
    <row r="85" spans="1:21">
      <c r="A85" s="30"/>
      <c r="B85" s="23"/>
      <c r="C85" s="23"/>
      <c r="D85" s="65" t="s">
        <v>60</v>
      </c>
      <c r="E85" s="55" t="e">
        <f>SUM(E57:E84)</f>
        <v>#REF!</v>
      </c>
      <c r="F85" s="40"/>
      <c r="G85" s="55" t="e">
        <f>SUM(G57:G84)</f>
        <v>#REF!</v>
      </c>
      <c r="H85" s="40"/>
      <c r="I85" s="55" t="e">
        <f>SUM(I57:I84)</f>
        <v>#REF!</v>
      </c>
      <c r="J85" s="23"/>
      <c r="K85" s="56" t="e">
        <f>SUM(K57:K84)</f>
        <v>#REF!</v>
      </c>
    </row>
    <row r="86" spans="1:21" ht="15.75" thickBot="1">
      <c r="A86" s="30"/>
      <c r="B86" s="23"/>
      <c r="C86" s="23"/>
      <c r="D86" s="65" t="s">
        <v>61</v>
      </c>
      <c r="E86" s="24" t="e">
        <f>ROUND(E85*0.1,0)</f>
        <v>#REF!</v>
      </c>
      <c r="F86" s="23"/>
      <c r="G86" s="24" t="e">
        <f>ROUND(G85*0.1,0)</f>
        <v>#REF!</v>
      </c>
      <c r="H86" s="23"/>
      <c r="I86" s="24" t="e">
        <f>ROUND(I85*0.1,0)</f>
        <v>#REF!</v>
      </c>
      <c r="J86" s="23"/>
      <c r="K86" s="41" t="e">
        <f>ROUND(K85*0.1,0)</f>
        <v>#REF!</v>
      </c>
    </row>
    <row r="87" spans="1:21" ht="15.75" thickBot="1">
      <c r="A87" s="42"/>
      <c r="B87" s="43"/>
      <c r="C87" s="43"/>
      <c r="D87" s="66" t="s">
        <v>62</v>
      </c>
      <c r="E87" s="44" t="e">
        <f>E85+E86</f>
        <v>#REF!</v>
      </c>
      <c r="F87" s="43"/>
      <c r="G87" s="44" t="e">
        <f>G85+G86</f>
        <v>#REF!</v>
      </c>
      <c r="H87" s="43"/>
      <c r="I87" s="44" t="e">
        <f>I85+I86</f>
        <v>#REF!</v>
      </c>
      <c r="J87" s="43"/>
      <c r="K87" s="47" t="e">
        <f>K85+K86</f>
        <v>#REF!</v>
      </c>
      <c r="L87" s="46" t="e">
        <f>#REF!</f>
        <v>#REF!</v>
      </c>
      <c r="M87" s="67" t="e">
        <f>E49+G49+I49+K49+M49+E87+G87+I87+K87</f>
        <v>#REF!</v>
      </c>
    </row>
    <row r="88" spans="1:21">
      <c r="T88" s="53"/>
      <c r="U88" s="51"/>
    </row>
    <row r="93" spans="1:21">
      <c r="G93" s="78" t="e">
        <f>E47+G47+I85</f>
        <v>#REF!</v>
      </c>
    </row>
    <row r="94" spans="1:21">
      <c r="G94" s="78" t="e">
        <f t="shared" ref="G94:G95" si="0">E48+G48+I86</f>
        <v>#REF!</v>
      </c>
    </row>
    <row r="95" spans="1:21">
      <c r="G95" s="78" t="e">
        <f t="shared" si="0"/>
        <v>#REF!</v>
      </c>
    </row>
  </sheetData>
  <mergeCells count="45">
    <mergeCell ref="A55:A56"/>
    <mergeCell ref="B55:B56"/>
    <mergeCell ref="C55:C56"/>
    <mergeCell ref="F55:F56"/>
    <mergeCell ref="G55:G56"/>
    <mergeCell ref="K17:K18"/>
    <mergeCell ref="L17:L18"/>
    <mergeCell ref="K55:K56"/>
    <mergeCell ref="D55:D56"/>
    <mergeCell ref="E55:E56"/>
    <mergeCell ref="J53:K53"/>
    <mergeCell ref="H55:H56"/>
    <mergeCell ref="I55:I56"/>
    <mergeCell ref="J55:J56"/>
    <mergeCell ref="F17:F18"/>
    <mergeCell ref="G17:G18"/>
    <mergeCell ref="J15:K15"/>
    <mergeCell ref="L15:M15"/>
    <mergeCell ref="T17:T18"/>
    <mergeCell ref="U17:U18"/>
    <mergeCell ref="D53:E53"/>
    <mergeCell ref="F53:G53"/>
    <mergeCell ref="H53:I53"/>
    <mergeCell ref="N17:N18"/>
    <mergeCell ref="O17:O18"/>
    <mergeCell ref="P17:P18"/>
    <mergeCell ref="Q17:Q18"/>
    <mergeCell ref="R17:R18"/>
    <mergeCell ref="S17:S18"/>
    <mergeCell ref="H17:H18"/>
    <mergeCell ref="I17:I18"/>
    <mergeCell ref="J17:J18"/>
    <mergeCell ref="D15:E15"/>
    <mergeCell ref="F15:G15"/>
    <mergeCell ref="H15:I15"/>
    <mergeCell ref="A17:A18"/>
    <mergeCell ref="B17:B18"/>
    <mergeCell ref="C17:C18"/>
    <mergeCell ref="D17:D18"/>
    <mergeCell ref="E17:E18"/>
    <mergeCell ref="N15:O15"/>
    <mergeCell ref="M17:M18"/>
    <mergeCell ref="P15:Q15"/>
    <mergeCell ref="R15:S15"/>
    <mergeCell ref="T15:U15"/>
  </mergeCells>
  <pageMargins left="0.7" right="0.7" top="0.75" bottom="0.75" header="0.3" footer="0.3"/>
  <pageSetup paperSize="17" scale="4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E346"/>
  <sheetViews>
    <sheetView zoomScale="90" zoomScaleNormal="90" workbookViewId="0">
      <selection activeCell="J38" sqref="J38"/>
    </sheetView>
  </sheetViews>
  <sheetFormatPr defaultRowHeight="15"/>
  <cols>
    <col min="1" max="1" width="40.5703125" customWidth="1"/>
    <col min="2" max="2" width="10.5703125" customWidth="1"/>
    <col min="3" max="3" width="10.42578125" customWidth="1"/>
    <col min="4" max="4" width="10.5703125" customWidth="1"/>
    <col min="5" max="5" width="19.140625" bestFit="1" customWidth="1"/>
    <col min="6" max="6" width="15.85546875" bestFit="1" customWidth="1"/>
    <col min="7" max="7" width="10.5703125" customWidth="1"/>
    <col min="8" max="8" width="11.5703125" customWidth="1"/>
    <col min="9" max="9" width="11.5703125" style="1" customWidth="1"/>
    <col min="10" max="10" width="28.85546875" bestFit="1" customWidth="1"/>
    <col min="11" max="11" width="14.85546875" bestFit="1" customWidth="1"/>
    <col min="12" max="12" width="18.7109375" bestFit="1" customWidth="1"/>
    <col min="13" max="13" width="10" customWidth="1"/>
    <col min="14" max="14" width="9.85546875" customWidth="1"/>
    <col min="15" max="15" width="10.7109375" customWidth="1"/>
    <col min="16" max="17" width="10.140625" customWidth="1"/>
    <col min="18" max="18" width="14.85546875" bestFit="1" customWidth="1"/>
    <col min="20" max="20" width="10" customWidth="1"/>
    <col min="21" max="21" width="10.28515625" bestFit="1" customWidth="1"/>
    <col min="23" max="23" width="19.28515625" bestFit="1" customWidth="1"/>
    <col min="24" max="24" width="24" bestFit="1" customWidth="1"/>
    <col min="27" max="27" width="10.28515625" bestFit="1" customWidth="1"/>
  </cols>
  <sheetData>
    <row r="2" spans="1:14">
      <c r="A2" s="9" t="s">
        <v>18</v>
      </c>
      <c r="B2" s="1"/>
      <c r="D2" s="1"/>
      <c r="G2" s="9"/>
      <c r="L2" s="9" t="s">
        <v>30</v>
      </c>
    </row>
    <row r="3" spans="1:14" s="1" customFormat="1">
      <c r="A3" s="11" t="s">
        <v>54</v>
      </c>
      <c r="B3" s="1">
        <v>26</v>
      </c>
      <c r="C3" s="1" t="s">
        <v>19</v>
      </c>
      <c r="G3" s="9"/>
      <c r="L3" s="9"/>
    </row>
    <row r="4" spans="1:14" ht="15" customHeight="1">
      <c r="A4" s="11" t="s">
        <v>27</v>
      </c>
      <c r="B4" s="1">
        <v>30</v>
      </c>
      <c r="C4" s="1" t="s">
        <v>19</v>
      </c>
      <c r="L4" t="s">
        <v>31</v>
      </c>
      <c r="M4">
        <v>150</v>
      </c>
      <c r="N4" t="s">
        <v>32</v>
      </c>
    </row>
    <row r="5" spans="1:14">
      <c r="A5" s="11" t="s">
        <v>20</v>
      </c>
      <c r="B5" s="1">
        <f>6/12</f>
        <v>0.5</v>
      </c>
      <c r="C5" s="1" t="s">
        <v>19</v>
      </c>
    </row>
    <row r="6" spans="1:14">
      <c r="A6" s="11" t="s">
        <v>58</v>
      </c>
      <c r="B6" s="1">
        <f>12/12</f>
        <v>1</v>
      </c>
      <c r="C6" s="1" t="s">
        <v>19</v>
      </c>
      <c r="G6" s="9"/>
      <c r="L6" s="9" t="s">
        <v>33</v>
      </c>
    </row>
    <row r="7" spans="1:14">
      <c r="A7" s="11" t="s">
        <v>59</v>
      </c>
      <c r="B7" s="1">
        <f>4/12</f>
        <v>0.33333333333333331</v>
      </c>
      <c r="C7" s="1" t="s">
        <v>19</v>
      </c>
      <c r="G7" s="1"/>
      <c r="H7" s="1"/>
      <c r="J7" s="1"/>
      <c r="L7" t="s">
        <v>31</v>
      </c>
      <c r="M7">
        <v>145</v>
      </c>
      <c r="N7" t="s">
        <v>32</v>
      </c>
    </row>
    <row r="8" spans="1:14">
      <c r="A8" s="1"/>
      <c r="B8" s="1"/>
      <c r="C8" s="1"/>
      <c r="D8" s="1"/>
      <c r="E8" s="1"/>
      <c r="F8" s="1"/>
      <c r="G8" s="1"/>
    </row>
    <row r="9" spans="1:14">
      <c r="A9" s="9" t="s">
        <v>22</v>
      </c>
      <c r="C9" s="1"/>
      <c r="G9" s="9"/>
      <c r="H9" s="1"/>
      <c r="J9" s="1"/>
      <c r="L9" s="9" t="s">
        <v>52</v>
      </c>
    </row>
    <row r="10" spans="1:14">
      <c r="A10" s="11" t="s">
        <v>27</v>
      </c>
      <c r="B10" s="1">
        <v>30</v>
      </c>
      <c r="C10" s="1" t="s">
        <v>19</v>
      </c>
      <c r="G10" s="1"/>
      <c r="H10" s="1"/>
      <c r="J10" s="1"/>
      <c r="L10">
        <v>5</v>
      </c>
      <c r="M10" t="s">
        <v>51</v>
      </c>
    </row>
    <row r="11" spans="1:14">
      <c r="A11" s="12" t="s">
        <v>20</v>
      </c>
      <c r="B11" s="1">
        <f>7/12</f>
        <v>0.58333333333333337</v>
      </c>
      <c r="C11" s="1" t="s">
        <v>19</v>
      </c>
    </row>
    <row r="12" spans="1:14">
      <c r="A12" s="12" t="s">
        <v>21</v>
      </c>
      <c r="B12" s="1">
        <f>12/12</f>
        <v>1</v>
      </c>
      <c r="C12" s="1" t="s">
        <v>19</v>
      </c>
      <c r="G12" s="9"/>
      <c r="H12" s="1"/>
      <c r="J12" s="1"/>
    </row>
    <row r="13" spans="1:14">
      <c r="A13" s="1"/>
      <c r="B13" s="1"/>
      <c r="C13" s="1"/>
      <c r="G13" s="1"/>
      <c r="H13" s="1"/>
      <c r="J13" s="1"/>
    </row>
    <row r="15" spans="1:14">
      <c r="A15" s="9" t="s">
        <v>28</v>
      </c>
      <c r="C15" s="1"/>
      <c r="G15" s="9"/>
      <c r="H15" s="1"/>
      <c r="J15" s="1"/>
    </row>
    <row r="16" spans="1:14">
      <c r="A16" s="12" t="s">
        <v>26</v>
      </c>
      <c r="B16" s="1">
        <v>26</v>
      </c>
      <c r="C16" s="1" t="s">
        <v>19</v>
      </c>
      <c r="G16" s="1"/>
      <c r="H16" s="1"/>
      <c r="J16" s="1"/>
    </row>
    <row r="17" spans="1:18">
      <c r="A17" s="12" t="s">
        <v>20</v>
      </c>
      <c r="B17" s="1">
        <f>6/12</f>
        <v>0.5</v>
      </c>
      <c r="C17" s="1" t="s">
        <v>19</v>
      </c>
    </row>
    <row r="18" spans="1:18">
      <c r="A18" s="12" t="s">
        <v>21</v>
      </c>
      <c r="B18" s="1">
        <f>12/12</f>
        <v>1</v>
      </c>
      <c r="C18" s="1" t="s">
        <v>19</v>
      </c>
      <c r="G18" s="9"/>
      <c r="H18" s="1"/>
      <c r="J18" s="1"/>
    </row>
    <row r="19" spans="1:18">
      <c r="A19" s="12" t="s">
        <v>23</v>
      </c>
      <c r="B19" s="1">
        <v>2</v>
      </c>
      <c r="C19" s="1" t="s">
        <v>25</v>
      </c>
      <c r="G19" s="1"/>
      <c r="H19" s="1"/>
      <c r="J19" s="1"/>
    </row>
    <row r="20" spans="1:18">
      <c r="A20" s="12" t="s">
        <v>24</v>
      </c>
      <c r="B20" s="1">
        <v>1</v>
      </c>
      <c r="C20" s="1" t="s">
        <v>25</v>
      </c>
    </row>
    <row r="21" spans="1:18">
      <c r="G21" s="9"/>
      <c r="H21" s="1"/>
      <c r="J21" s="1"/>
    </row>
    <row r="22" spans="1:18">
      <c r="A22" s="12"/>
      <c r="G22" s="1"/>
      <c r="H22" s="1"/>
      <c r="J22" s="1"/>
    </row>
    <row r="23" spans="1:18">
      <c r="A23" s="9" t="s">
        <v>117</v>
      </c>
      <c r="B23" s="1"/>
      <c r="C23" s="1"/>
    </row>
    <row r="24" spans="1:18">
      <c r="A24" s="11" t="s">
        <v>27</v>
      </c>
      <c r="B24" s="1">
        <v>26</v>
      </c>
      <c r="C24" s="1" t="s">
        <v>19</v>
      </c>
      <c r="G24" s="9"/>
      <c r="H24" s="1"/>
      <c r="J24" s="1"/>
    </row>
    <row r="25" spans="1:18">
      <c r="A25" s="12" t="s">
        <v>20</v>
      </c>
      <c r="B25" s="10">
        <f>3/12</f>
        <v>0.25</v>
      </c>
      <c r="C25" s="1" t="s">
        <v>19</v>
      </c>
      <c r="G25" s="1"/>
      <c r="H25" s="1"/>
      <c r="J25" s="1"/>
    </row>
    <row r="27" spans="1:18">
      <c r="G27" s="9"/>
    </row>
    <row r="30" spans="1:18">
      <c r="G30" s="10"/>
    </row>
    <row r="31" spans="1:18">
      <c r="G31" s="10"/>
    </row>
    <row r="32" spans="1:18" s="1" customFormat="1">
      <c r="B32" s="258" t="s">
        <v>18</v>
      </c>
      <c r="C32" s="258"/>
      <c r="D32" s="258" t="s">
        <v>22</v>
      </c>
      <c r="E32" s="258"/>
      <c r="F32" s="258" t="s">
        <v>28</v>
      </c>
      <c r="G32" s="258"/>
      <c r="H32" s="258" t="s">
        <v>72</v>
      </c>
      <c r="I32" s="258"/>
      <c r="J32" s="258"/>
      <c r="K32" s="258" t="s">
        <v>73</v>
      </c>
      <c r="L32" s="258"/>
      <c r="M32" s="258" t="s">
        <v>74</v>
      </c>
      <c r="N32" s="258"/>
      <c r="O32" s="259"/>
      <c r="P32" s="259"/>
      <c r="Q32" s="259"/>
      <c r="R32" s="259"/>
    </row>
    <row r="33" spans="1:22">
      <c r="B33" s="258" t="s">
        <v>66</v>
      </c>
      <c r="C33" s="258"/>
      <c r="D33" s="258" t="s">
        <v>67</v>
      </c>
      <c r="E33" s="258"/>
      <c r="F33" s="258" t="s">
        <v>68</v>
      </c>
      <c r="G33" s="258"/>
      <c r="H33" s="258" t="s">
        <v>69</v>
      </c>
      <c r="I33" s="258"/>
      <c r="J33" s="258"/>
      <c r="K33" s="258" t="s">
        <v>70</v>
      </c>
      <c r="L33" s="258"/>
      <c r="M33" s="258" t="s">
        <v>71</v>
      </c>
      <c r="N33" s="258"/>
      <c r="O33" s="246"/>
      <c r="P33" s="250"/>
      <c r="Q33" s="250"/>
      <c r="R33" s="250"/>
      <c r="S33" s="250"/>
      <c r="T33" s="250"/>
      <c r="U33" s="250" t="s">
        <v>107</v>
      </c>
      <c r="V33" s="250"/>
    </row>
    <row r="34" spans="1:22" ht="30">
      <c r="A34" s="16"/>
      <c r="B34" s="20" t="s">
        <v>35</v>
      </c>
      <c r="C34" s="21" t="s">
        <v>36</v>
      </c>
      <c r="D34" s="15"/>
      <c r="E34" s="21" t="s">
        <v>36</v>
      </c>
      <c r="F34" s="15"/>
      <c r="G34" s="21" t="s">
        <v>36</v>
      </c>
      <c r="H34" s="15"/>
      <c r="I34" s="69"/>
      <c r="J34" s="21" t="s">
        <v>36</v>
      </c>
      <c r="K34" s="15"/>
      <c r="L34" s="21" t="s">
        <v>36</v>
      </c>
      <c r="M34" s="15"/>
      <c r="N34" s="21" t="s">
        <v>36</v>
      </c>
      <c r="O34" s="15" t="s">
        <v>169</v>
      </c>
      <c r="P34" s="21"/>
      <c r="Q34" s="15"/>
      <c r="R34" s="21"/>
      <c r="S34" s="22"/>
      <c r="T34" s="21"/>
      <c r="U34" s="250"/>
      <c r="V34" s="250"/>
    </row>
    <row r="35" spans="1:22">
      <c r="A35" s="107" t="s">
        <v>177</v>
      </c>
      <c r="B35" s="108" t="s">
        <v>34</v>
      </c>
      <c r="C35" s="108"/>
      <c r="D35" s="108"/>
      <c r="E35" s="99"/>
      <c r="F35" s="108"/>
      <c r="G35" s="108"/>
      <c r="H35" s="108"/>
      <c r="I35" s="108"/>
      <c r="J35" s="108"/>
      <c r="K35" s="108"/>
      <c r="L35" s="108"/>
      <c r="M35" s="108"/>
      <c r="N35" s="108"/>
      <c r="O35" s="108">
        <f>(AA170*B5*M4+AA172*B25*M4+AA171*B11*M4)/2000</f>
        <v>20142.424999999999</v>
      </c>
      <c r="P35" s="108"/>
      <c r="Q35" s="108"/>
      <c r="R35" s="108"/>
      <c r="S35" s="108"/>
      <c r="T35" s="107"/>
      <c r="U35" s="256">
        <f>ROUNDUP(SUM(C35:T35),0)</f>
        <v>20143</v>
      </c>
      <c r="V35" s="256"/>
    </row>
    <row r="36" spans="1:22" s="1" customFormat="1">
      <c r="A36" s="107" t="s">
        <v>45</v>
      </c>
      <c r="B36" s="108" t="s">
        <v>34</v>
      </c>
      <c r="C36" s="108"/>
      <c r="D36" s="108"/>
      <c r="E36" s="99"/>
      <c r="F36" s="108"/>
      <c r="G36" s="108"/>
      <c r="H36" s="108"/>
      <c r="I36" s="108"/>
      <c r="J36" s="108"/>
      <c r="K36" s="108"/>
      <c r="L36" s="108"/>
      <c r="M36" s="108"/>
      <c r="N36" s="108"/>
      <c r="O36" s="108">
        <f>AC172</f>
        <v>5262</v>
      </c>
      <c r="P36" s="108"/>
      <c r="Q36" s="108"/>
      <c r="R36" s="108"/>
      <c r="S36" s="108"/>
      <c r="T36" s="107"/>
      <c r="U36" s="256">
        <f t="shared" ref="U36:U47" si="0">SUM(C36:T36)</f>
        <v>5262</v>
      </c>
      <c r="V36" s="256"/>
    </row>
    <row r="37" spans="1:22">
      <c r="A37" s="107" t="s">
        <v>43</v>
      </c>
      <c r="B37" s="108"/>
      <c r="C37" s="108">
        <f>SUM(C171:C180)</f>
        <v>115930</v>
      </c>
      <c r="D37" s="108" t="s">
        <v>41</v>
      </c>
      <c r="E37" s="99">
        <f>SUM(H171:H180)+SUM(H186:H188)+SUM(H192:H205)</f>
        <v>136431</v>
      </c>
      <c r="F37" s="108" t="s">
        <v>41</v>
      </c>
      <c r="G37" s="108">
        <f>SUM(O171:O179)</f>
        <v>115276</v>
      </c>
      <c r="H37" s="108" t="s">
        <v>41</v>
      </c>
      <c r="I37" s="108"/>
      <c r="J37" s="108">
        <f>(U171-SUM(U172:U177))</f>
        <v>132109</v>
      </c>
      <c r="K37" s="108" t="s">
        <v>176</v>
      </c>
      <c r="L37" s="108">
        <f>U66*3</f>
        <v>38700</v>
      </c>
      <c r="M37" s="113">
        <f>(1414+951)</f>
        <v>2365</v>
      </c>
      <c r="N37" s="108" t="s">
        <v>183</v>
      </c>
      <c r="O37" s="113"/>
      <c r="P37" s="108"/>
      <c r="Q37" s="108"/>
      <c r="R37" s="108"/>
      <c r="S37" s="108"/>
      <c r="T37" s="107"/>
      <c r="U37" s="256">
        <f>ROUNDUP((SUM(C37:T37)/9),0)</f>
        <v>60091</v>
      </c>
      <c r="V37" s="256"/>
    </row>
    <row r="38" spans="1:22" s="113" customFormat="1">
      <c r="A38" s="107" t="s">
        <v>38</v>
      </c>
      <c r="B38" s="108" t="s">
        <v>39</v>
      </c>
      <c r="C38" s="108">
        <f>C66</f>
        <v>1564</v>
      </c>
      <c r="D38" s="108">
        <f t="shared" ref="D38:N38" si="1">D66</f>
        <v>0</v>
      </c>
      <c r="E38" s="108">
        <f t="shared" si="1"/>
        <v>3658</v>
      </c>
      <c r="F38" s="108">
        <f t="shared" si="1"/>
        <v>0</v>
      </c>
      <c r="G38" s="108">
        <f>G66</f>
        <v>5989</v>
      </c>
      <c r="H38" s="108">
        <f t="shared" si="1"/>
        <v>0</v>
      </c>
      <c r="I38" s="108">
        <f t="shared" si="1"/>
        <v>0</v>
      </c>
      <c r="J38" s="108">
        <f t="shared" si="1"/>
        <v>1689</v>
      </c>
      <c r="K38" s="108">
        <f t="shared" si="1"/>
        <v>0</v>
      </c>
      <c r="L38" s="108">
        <f t="shared" si="1"/>
        <v>0</v>
      </c>
      <c r="M38" s="108">
        <f t="shared" si="1"/>
        <v>0</v>
      </c>
      <c r="N38" s="108">
        <f t="shared" si="1"/>
        <v>0</v>
      </c>
      <c r="O38" s="108"/>
      <c r="P38" s="108"/>
      <c r="Q38" s="108"/>
      <c r="R38" s="108"/>
      <c r="S38" s="108"/>
      <c r="T38" s="107"/>
      <c r="U38" s="256">
        <f>SUM(C38:T38)</f>
        <v>12900</v>
      </c>
      <c r="V38" s="256"/>
    </row>
    <row r="39" spans="1:22" s="1" customFormat="1">
      <c r="A39" s="92" t="s">
        <v>56</v>
      </c>
      <c r="B39" s="93" t="s">
        <v>34</v>
      </c>
      <c r="C39" s="93"/>
      <c r="D39" s="93"/>
      <c r="E39" s="93"/>
      <c r="F39" s="93"/>
      <c r="G39" s="93"/>
      <c r="H39" s="93"/>
      <c r="I39" s="93"/>
      <c r="J39" s="93"/>
      <c r="K39" s="93"/>
      <c r="L39" s="93"/>
      <c r="M39" s="93"/>
      <c r="N39" s="93"/>
      <c r="O39" s="93"/>
      <c r="P39" s="93"/>
      <c r="Q39" s="93"/>
      <c r="R39" s="93"/>
      <c r="S39" s="93"/>
      <c r="T39" s="92"/>
      <c r="U39" s="257">
        <f t="shared" si="0"/>
        <v>0</v>
      </c>
      <c r="V39" s="257"/>
    </row>
    <row r="40" spans="1:22">
      <c r="A40" s="92" t="s">
        <v>44</v>
      </c>
      <c r="B40" s="93" t="s">
        <v>40</v>
      </c>
      <c r="C40" s="93"/>
      <c r="D40" s="93"/>
      <c r="E40" s="93"/>
      <c r="F40" s="93"/>
      <c r="G40" s="93"/>
      <c r="H40" s="93"/>
      <c r="I40" s="93"/>
      <c r="J40" s="93"/>
      <c r="K40" s="93"/>
      <c r="L40" s="93"/>
      <c r="M40" s="93"/>
      <c r="N40" s="93"/>
      <c r="O40" s="93"/>
      <c r="P40" s="93"/>
      <c r="Q40" s="93"/>
      <c r="R40" s="93"/>
      <c r="S40" s="93"/>
      <c r="T40" s="92"/>
      <c r="U40" s="257">
        <f t="shared" si="0"/>
        <v>0</v>
      </c>
      <c r="V40" s="257"/>
    </row>
    <row r="41" spans="1:22">
      <c r="A41" s="92" t="s">
        <v>50</v>
      </c>
      <c r="B41" s="93" t="s">
        <v>40</v>
      </c>
      <c r="C41" s="93"/>
      <c r="D41" s="93"/>
      <c r="E41" s="93"/>
      <c r="F41" s="93"/>
      <c r="G41" s="93"/>
      <c r="H41" s="93"/>
      <c r="I41" s="93"/>
      <c r="J41" s="93"/>
      <c r="K41" s="93"/>
      <c r="L41" s="93"/>
      <c r="M41" s="93"/>
      <c r="N41" s="93"/>
      <c r="O41" s="93"/>
      <c r="P41" s="93"/>
      <c r="Q41" s="93"/>
      <c r="R41" s="93"/>
      <c r="S41" s="93"/>
      <c r="T41" s="92"/>
      <c r="U41" s="257">
        <f t="shared" si="0"/>
        <v>0</v>
      </c>
      <c r="V41" s="257"/>
    </row>
    <row r="42" spans="1:22" s="113" customFormat="1">
      <c r="A42" s="107" t="s">
        <v>47</v>
      </c>
      <c r="B42" s="108" t="s">
        <v>48</v>
      </c>
      <c r="C42" s="108">
        <f>(C37*$B$6*$M$7)/2000</f>
        <v>8404.9249999999993</v>
      </c>
      <c r="D42" s="108"/>
      <c r="E42" s="108">
        <f>(E37*$B$6*$M$7)/2000</f>
        <v>9891.2474999999995</v>
      </c>
      <c r="F42" s="108"/>
      <c r="G42" s="108">
        <f>(G37*$B$6*$M$7)/2000</f>
        <v>8357.51</v>
      </c>
      <c r="H42" s="108"/>
      <c r="I42" s="108">
        <f t="shared" ref="I42" si="2">(I37*$B$6*$M$7)/2000</f>
        <v>0</v>
      </c>
      <c r="J42" s="108">
        <f>(J37*$B$6*$M$7)/2000</f>
        <v>9577.9025000000001</v>
      </c>
      <c r="K42" s="108"/>
      <c r="L42" s="108">
        <f>(L37*$B$6*$M$7)/2000</f>
        <v>2805.75</v>
      </c>
      <c r="M42" s="108">
        <f>(M37*(8/12)*M7)/2000</f>
        <v>114.30833333333332</v>
      </c>
      <c r="N42" s="108"/>
      <c r="O42" s="108"/>
      <c r="P42" s="108"/>
      <c r="Q42" s="108"/>
      <c r="R42" s="108"/>
      <c r="S42" s="108"/>
      <c r="T42" s="108"/>
      <c r="U42" s="256">
        <f>ROUNDUP(SUM(C42:T42),0)</f>
        <v>39152</v>
      </c>
      <c r="V42" s="256"/>
    </row>
    <row r="43" spans="1:22">
      <c r="A43" s="92" t="s">
        <v>49</v>
      </c>
      <c r="B43" s="93" t="s">
        <v>48</v>
      </c>
      <c r="C43" s="93"/>
      <c r="D43" s="93"/>
      <c r="E43" s="93"/>
      <c r="F43" s="93"/>
      <c r="G43" s="93"/>
      <c r="H43" s="93"/>
      <c r="I43" s="93"/>
      <c r="J43" s="93"/>
      <c r="K43" s="93"/>
      <c r="L43" s="93"/>
      <c r="M43" s="93"/>
      <c r="N43" s="93"/>
      <c r="O43" s="93"/>
      <c r="P43" s="93"/>
      <c r="Q43" s="93"/>
      <c r="R43" s="93"/>
      <c r="S43" s="93"/>
      <c r="T43" s="92"/>
      <c r="U43" s="257">
        <f t="shared" si="0"/>
        <v>0</v>
      </c>
      <c r="V43" s="257"/>
    </row>
    <row r="44" spans="1:22" s="1" customFormat="1">
      <c r="A44" s="92" t="s">
        <v>57</v>
      </c>
      <c r="B44" s="93" t="s">
        <v>34</v>
      </c>
      <c r="C44" s="93"/>
      <c r="D44" s="93"/>
      <c r="E44" s="93"/>
      <c r="F44" s="93"/>
      <c r="G44" s="93"/>
      <c r="H44" s="93"/>
      <c r="I44" s="93"/>
      <c r="J44" s="93"/>
      <c r="K44" s="93"/>
      <c r="L44" s="93"/>
      <c r="M44" s="93"/>
      <c r="N44" s="93"/>
      <c r="O44" s="93"/>
      <c r="P44" s="93"/>
      <c r="Q44" s="93"/>
      <c r="R44" s="93"/>
      <c r="S44" s="93"/>
      <c r="T44" s="92"/>
      <c r="U44" s="257">
        <f t="shared" si="0"/>
        <v>0</v>
      </c>
      <c r="V44" s="257"/>
    </row>
    <row r="45" spans="1:22">
      <c r="A45" s="92" t="s">
        <v>46</v>
      </c>
      <c r="B45" s="93" t="s">
        <v>37</v>
      </c>
      <c r="C45" s="93"/>
      <c r="D45" s="93"/>
      <c r="E45" s="93"/>
      <c r="F45" s="93"/>
      <c r="G45" s="93"/>
      <c r="H45" s="93"/>
      <c r="I45" s="93"/>
      <c r="J45" s="93"/>
      <c r="K45" s="93"/>
      <c r="L45" s="93"/>
      <c r="M45" s="93"/>
      <c r="N45" s="93"/>
      <c r="O45" s="93"/>
      <c r="P45" s="93"/>
      <c r="Q45" s="93"/>
      <c r="R45" s="93"/>
      <c r="S45" s="93"/>
      <c r="T45" s="92"/>
      <c r="U45" s="257">
        <f t="shared" si="0"/>
        <v>0</v>
      </c>
      <c r="V45" s="257"/>
    </row>
    <row r="46" spans="1:22">
      <c r="A46" s="107" t="s">
        <v>53</v>
      </c>
      <c r="B46" s="108"/>
      <c r="C46" s="108">
        <f>((16364.64-12719.3)+(12595.23-101.7))*L10</f>
        <v>80694.349999999991</v>
      </c>
      <c r="D46" s="108" t="s">
        <v>141</v>
      </c>
      <c r="E46" s="108"/>
      <c r="F46" s="108"/>
      <c r="G46" s="108"/>
      <c r="H46" s="108"/>
      <c r="I46" s="108"/>
      <c r="J46" s="108"/>
      <c r="K46" s="108"/>
      <c r="L46" s="108"/>
      <c r="M46" s="108"/>
      <c r="N46" s="108"/>
      <c r="O46" s="108"/>
      <c r="P46" s="108"/>
      <c r="Q46" s="108"/>
      <c r="R46" s="108"/>
      <c r="S46" s="108"/>
      <c r="T46" s="107"/>
      <c r="U46" s="256">
        <f>ROUNDUP(((SUM(C46:T46))/9),-2)</f>
        <v>9000</v>
      </c>
      <c r="V46" s="256"/>
    </row>
    <row r="47" spans="1:22">
      <c r="A47" s="92" t="s">
        <v>55</v>
      </c>
      <c r="B47" s="93" t="s">
        <v>41</v>
      </c>
      <c r="C47" s="92"/>
      <c r="D47" s="92"/>
      <c r="E47" s="92"/>
      <c r="F47" s="92"/>
      <c r="G47" s="92"/>
      <c r="H47" s="92"/>
      <c r="I47" s="92"/>
      <c r="J47" s="92"/>
      <c r="K47" s="92"/>
      <c r="L47" s="92"/>
      <c r="M47" s="92"/>
      <c r="N47" s="92"/>
      <c r="O47" s="92"/>
      <c r="P47" s="92"/>
      <c r="Q47" s="92"/>
      <c r="R47" s="92"/>
      <c r="S47" s="92"/>
      <c r="T47" s="93"/>
      <c r="U47" s="257">
        <f t="shared" si="0"/>
        <v>0</v>
      </c>
      <c r="V47" s="257"/>
    </row>
    <row r="48" spans="1:22">
      <c r="A48" s="87" t="s">
        <v>75</v>
      </c>
      <c r="B48" s="86" t="s">
        <v>39</v>
      </c>
      <c r="C48" s="16">
        <f>G105</f>
        <v>30</v>
      </c>
      <c r="D48" s="16"/>
      <c r="E48" s="16">
        <f>M105</f>
        <v>38</v>
      </c>
      <c r="F48" s="16"/>
      <c r="G48" s="16">
        <f>V105</f>
        <v>91</v>
      </c>
      <c r="H48" s="16"/>
      <c r="I48" s="16"/>
      <c r="J48" s="16">
        <f>AD105</f>
        <v>0</v>
      </c>
      <c r="K48" s="16"/>
      <c r="L48" s="16">
        <v>0</v>
      </c>
      <c r="M48" s="16"/>
      <c r="N48" s="16">
        <v>0</v>
      </c>
      <c r="O48" s="16"/>
      <c r="P48" s="16"/>
      <c r="Q48" s="16"/>
      <c r="R48" s="16"/>
      <c r="S48" s="16"/>
      <c r="T48" s="16"/>
      <c r="U48" s="250">
        <f>SUM(C48:T48)</f>
        <v>159</v>
      </c>
      <c r="V48" s="250"/>
    </row>
    <row r="49" spans="1:22" s="1" customFormat="1">
      <c r="A49" s="87" t="s">
        <v>76</v>
      </c>
      <c r="B49" s="86" t="s">
        <v>39</v>
      </c>
      <c r="C49" s="16">
        <f t="shared" ref="C49:C51" si="3">G106</f>
        <v>38</v>
      </c>
      <c r="D49" s="16"/>
      <c r="E49" s="16">
        <f>M106</f>
        <v>45</v>
      </c>
      <c r="F49" s="16"/>
      <c r="G49" s="16">
        <f>V106</f>
        <v>397</v>
      </c>
      <c r="H49" s="16"/>
      <c r="I49" s="16"/>
      <c r="J49" s="16">
        <f>AD106</f>
        <v>207</v>
      </c>
      <c r="K49" s="16"/>
      <c r="L49" s="16">
        <v>0</v>
      </c>
      <c r="M49" s="16"/>
      <c r="N49" s="16">
        <v>0</v>
      </c>
      <c r="O49" s="16"/>
      <c r="P49" s="16"/>
      <c r="Q49" s="16"/>
      <c r="R49" s="16"/>
      <c r="S49" s="16"/>
      <c r="T49" s="16"/>
      <c r="U49" s="250">
        <f t="shared" ref="U49:U89" si="4">SUM(C49:T49)</f>
        <v>687</v>
      </c>
      <c r="V49" s="250"/>
    </row>
    <row r="50" spans="1:22" s="1" customFormat="1">
      <c r="A50" s="87" t="s">
        <v>78</v>
      </c>
      <c r="B50" s="86" t="s">
        <v>39</v>
      </c>
      <c r="C50" s="16">
        <f t="shared" si="3"/>
        <v>30</v>
      </c>
      <c r="D50" s="16"/>
      <c r="E50" s="16">
        <f>M107</f>
        <v>60</v>
      </c>
      <c r="F50" s="16"/>
      <c r="G50" s="16">
        <f>V107</f>
        <v>0</v>
      </c>
      <c r="H50" s="16"/>
      <c r="I50" s="16"/>
      <c r="J50" s="16">
        <f>AD107</f>
        <v>0</v>
      </c>
      <c r="K50" s="16"/>
      <c r="L50" s="16">
        <v>0</v>
      </c>
      <c r="M50" s="16"/>
      <c r="N50" s="16">
        <v>0</v>
      </c>
      <c r="O50" s="16"/>
      <c r="P50" s="16"/>
      <c r="Q50" s="16"/>
      <c r="R50" s="16"/>
      <c r="S50" s="16"/>
      <c r="T50" s="16"/>
      <c r="U50" s="250">
        <f t="shared" si="4"/>
        <v>90</v>
      </c>
      <c r="V50" s="250"/>
    </row>
    <row r="51" spans="1:22">
      <c r="A51" s="87" t="s">
        <v>84</v>
      </c>
      <c r="B51" s="86" t="s">
        <v>39</v>
      </c>
      <c r="C51" s="16">
        <f t="shared" si="3"/>
        <v>0</v>
      </c>
      <c r="D51" s="16"/>
      <c r="E51" s="16">
        <f>M108</f>
        <v>48</v>
      </c>
      <c r="F51" s="16"/>
      <c r="G51" s="16">
        <f>V108</f>
        <v>0</v>
      </c>
      <c r="H51" s="16"/>
      <c r="I51" s="16"/>
      <c r="J51" s="16">
        <f>AD108</f>
        <v>0</v>
      </c>
      <c r="K51" s="16"/>
      <c r="L51" s="16">
        <v>0</v>
      </c>
      <c r="M51" s="16"/>
      <c r="N51" s="16">
        <v>0</v>
      </c>
      <c r="O51" s="16"/>
      <c r="P51" s="16"/>
      <c r="Q51" s="16"/>
      <c r="R51" s="16"/>
      <c r="S51" s="16"/>
      <c r="T51" s="16"/>
      <c r="U51" s="250">
        <f t="shared" si="4"/>
        <v>48</v>
      </c>
      <c r="V51" s="250"/>
    </row>
    <row r="52" spans="1:22">
      <c r="A52" s="87" t="s">
        <v>64</v>
      </c>
      <c r="B52" s="86" t="s">
        <v>40</v>
      </c>
      <c r="C52" s="16">
        <f t="shared" ref="C52:C62" si="5">G110</f>
        <v>0</v>
      </c>
      <c r="D52" s="16"/>
      <c r="E52" s="16">
        <f t="shared" ref="E52:E62" si="6">M110</f>
        <v>1</v>
      </c>
      <c r="F52" s="16"/>
      <c r="G52" s="16">
        <f t="shared" ref="G52:G62" si="7">V110</f>
        <v>1</v>
      </c>
      <c r="H52" s="16"/>
      <c r="I52" s="16"/>
      <c r="J52" s="16">
        <f t="shared" ref="J52:J62" si="8">AD110</f>
        <v>0</v>
      </c>
      <c r="K52" s="16"/>
      <c r="L52" s="16">
        <v>0</v>
      </c>
      <c r="M52" s="16"/>
      <c r="N52" s="16">
        <v>0</v>
      </c>
      <c r="O52" s="16"/>
      <c r="P52" s="16"/>
      <c r="Q52" s="16"/>
      <c r="R52" s="16"/>
      <c r="S52" s="16"/>
      <c r="T52" s="16"/>
      <c r="U52" s="250">
        <f t="shared" si="4"/>
        <v>2</v>
      </c>
      <c r="V52" s="250"/>
    </row>
    <row r="53" spans="1:22" s="1" customFormat="1">
      <c r="A53" s="87" t="s">
        <v>65</v>
      </c>
      <c r="B53" s="86" t="s">
        <v>40</v>
      </c>
      <c r="C53" s="16">
        <f t="shared" si="5"/>
        <v>6</v>
      </c>
      <c r="D53" s="16"/>
      <c r="E53" s="16">
        <f t="shared" si="6"/>
        <v>7</v>
      </c>
      <c r="F53" s="16"/>
      <c r="G53" s="16">
        <f t="shared" si="7"/>
        <v>14</v>
      </c>
      <c r="H53" s="16"/>
      <c r="I53" s="16"/>
      <c r="J53" s="16">
        <f t="shared" si="8"/>
        <v>6</v>
      </c>
      <c r="K53" s="16"/>
      <c r="L53" s="16">
        <v>0</v>
      </c>
      <c r="M53" s="16"/>
      <c r="N53" s="16">
        <v>0</v>
      </c>
      <c r="O53" s="16"/>
      <c r="P53" s="16"/>
      <c r="Q53" s="16"/>
      <c r="R53" s="16"/>
      <c r="S53" s="16"/>
      <c r="T53" s="16"/>
      <c r="U53" s="250">
        <f t="shared" si="4"/>
        <v>33</v>
      </c>
      <c r="V53" s="250"/>
    </row>
    <row r="54" spans="1:22" s="1" customFormat="1">
      <c r="A54" s="87" t="s">
        <v>98</v>
      </c>
      <c r="B54" s="86" t="s">
        <v>40</v>
      </c>
      <c r="C54" s="16">
        <f t="shared" si="5"/>
        <v>0</v>
      </c>
      <c r="D54" s="16"/>
      <c r="E54" s="16">
        <f t="shared" si="6"/>
        <v>0</v>
      </c>
      <c r="F54" s="16"/>
      <c r="G54" s="16">
        <f t="shared" si="7"/>
        <v>0</v>
      </c>
      <c r="H54" s="16"/>
      <c r="I54" s="16"/>
      <c r="J54" s="16">
        <f t="shared" si="8"/>
        <v>1</v>
      </c>
      <c r="K54" s="16"/>
      <c r="L54" s="16">
        <v>0</v>
      </c>
      <c r="M54" s="16"/>
      <c r="N54" s="16">
        <v>0</v>
      </c>
      <c r="O54" s="16"/>
      <c r="P54" s="16"/>
      <c r="Q54" s="16"/>
      <c r="R54" s="16"/>
      <c r="S54" s="16"/>
      <c r="T54" s="16"/>
      <c r="U54" s="250">
        <f t="shared" si="4"/>
        <v>1</v>
      </c>
      <c r="V54" s="250"/>
    </row>
    <row r="55" spans="1:22" s="1" customFormat="1">
      <c r="A55" s="87" t="s">
        <v>77</v>
      </c>
      <c r="B55" s="86" t="s">
        <v>40</v>
      </c>
      <c r="C55" s="16">
        <f t="shared" si="5"/>
        <v>6</v>
      </c>
      <c r="D55" s="16"/>
      <c r="E55" s="16">
        <f t="shared" si="6"/>
        <v>5</v>
      </c>
      <c r="F55" s="16"/>
      <c r="G55" s="16">
        <f t="shared" si="7"/>
        <v>5</v>
      </c>
      <c r="H55" s="16"/>
      <c r="I55" s="16"/>
      <c r="J55" s="16">
        <f t="shared" si="8"/>
        <v>1</v>
      </c>
      <c r="K55" s="16"/>
      <c r="L55" s="16">
        <v>0</v>
      </c>
      <c r="M55" s="16"/>
      <c r="N55" s="16">
        <v>0</v>
      </c>
      <c r="O55" s="16"/>
      <c r="P55" s="16"/>
      <c r="Q55" s="16"/>
      <c r="R55" s="16"/>
      <c r="S55" s="16"/>
      <c r="T55" s="16"/>
      <c r="U55" s="250">
        <f>SUM(C55:T55)</f>
        <v>17</v>
      </c>
      <c r="V55" s="250"/>
    </row>
    <row r="56" spans="1:22" s="1" customFormat="1">
      <c r="A56" s="87" t="s">
        <v>99</v>
      </c>
      <c r="B56" s="86" t="s">
        <v>40</v>
      </c>
      <c r="C56" s="16">
        <f t="shared" si="5"/>
        <v>0</v>
      </c>
      <c r="D56" s="16"/>
      <c r="E56" s="16">
        <f t="shared" si="6"/>
        <v>0</v>
      </c>
      <c r="F56" s="16"/>
      <c r="G56" s="16">
        <f t="shared" si="7"/>
        <v>1</v>
      </c>
      <c r="H56" s="16"/>
      <c r="I56" s="16"/>
      <c r="J56" s="16">
        <f t="shared" si="8"/>
        <v>1</v>
      </c>
      <c r="K56" s="16"/>
      <c r="L56" s="16">
        <v>0</v>
      </c>
      <c r="M56" s="16"/>
      <c r="N56" s="16">
        <v>0</v>
      </c>
      <c r="O56" s="16"/>
      <c r="P56" s="16"/>
      <c r="Q56" s="16"/>
      <c r="R56" s="16"/>
      <c r="S56" s="16"/>
      <c r="T56" s="16"/>
      <c r="U56" s="250">
        <f t="shared" si="4"/>
        <v>2</v>
      </c>
      <c r="V56" s="250"/>
    </row>
    <row r="57" spans="1:22" s="1" customFormat="1">
      <c r="A57" s="87" t="s">
        <v>86</v>
      </c>
      <c r="B57" s="86" t="s">
        <v>40</v>
      </c>
      <c r="C57" s="16">
        <f t="shared" si="5"/>
        <v>0</v>
      </c>
      <c r="D57" s="16"/>
      <c r="E57" s="16">
        <f t="shared" si="6"/>
        <v>1</v>
      </c>
      <c r="F57" s="16"/>
      <c r="G57" s="16">
        <f t="shared" si="7"/>
        <v>0</v>
      </c>
      <c r="H57" s="16"/>
      <c r="I57" s="16"/>
      <c r="J57" s="16">
        <f t="shared" si="8"/>
        <v>0</v>
      </c>
      <c r="K57" s="16"/>
      <c r="L57" s="16">
        <v>0</v>
      </c>
      <c r="M57" s="16"/>
      <c r="N57" s="16">
        <v>0</v>
      </c>
      <c r="O57" s="16"/>
      <c r="P57" s="16"/>
      <c r="Q57" s="16"/>
      <c r="R57" s="16"/>
      <c r="S57" s="16"/>
      <c r="T57" s="16"/>
      <c r="U57" s="250">
        <f t="shared" si="4"/>
        <v>1</v>
      </c>
      <c r="V57" s="250"/>
    </row>
    <row r="58" spans="1:22">
      <c r="A58" s="87" t="s">
        <v>87</v>
      </c>
      <c r="B58" s="86" t="s">
        <v>40</v>
      </c>
      <c r="C58" s="16">
        <f t="shared" si="5"/>
        <v>1</v>
      </c>
      <c r="D58" s="16"/>
      <c r="E58" s="16">
        <f t="shared" si="6"/>
        <v>0</v>
      </c>
      <c r="F58" s="16"/>
      <c r="G58" s="16">
        <f t="shared" si="7"/>
        <v>2</v>
      </c>
      <c r="H58" s="16"/>
      <c r="I58" s="16"/>
      <c r="J58" s="16">
        <f t="shared" si="8"/>
        <v>0</v>
      </c>
      <c r="K58" s="16"/>
      <c r="L58" s="16">
        <v>0</v>
      </c>
      <c r="M58" s="16"/>
      <c r="N58" s="16">
        <v>0</v>
      </c>
      <c r="O58" s="16"/>
      <c r="P58" s="16"/>
      <c r="Q58" s="16"/>
      <c r="R58" s="16"/>
      <c r="S58" s="16"/>
      <c r="T58" s="16"/>
      <c r="U58" s="250">
        <f t="shared" si="4"/>
        <v>3</v>
      </c>
      <c r="V58" s="250"/>
    </row>
    <row r="59" spans="1:22">
      <c r="A59" s="87" t="s">
        <v>88</v>
      </c>
      <c r="B59" s="86" t="s">
        <v>40</v>
      </c>
      <c r="C59" s="16">
        <f t="shared" si="5"/>
        <v>1</v>
      </c>
      <c r="D59" s="16"/>
      <c r="E59" s="16">
        <f t="shared" si="6"/>
        <v>1</v>
      </c>
      <c r="F59" s="16"/>
      <c r="G59" s="16">
        <f t="shared" si="7"/>
        <v>0</v>
      </c>
      <c r="H59" s="16"/>
      <c r="I59" s="16"/>
      <c r="J59" s="16">
        <f t="shared" si="8"/>
        <v>0</v>
      </c>
      <c r="K59" s="16"/>
      <c r="L59" s="16">
        <v>0</v>
      </c>
      <c r="M59" s="16"/>
      <c r="N59" s="16">
        <v>0</v>
      </c>
      <c r="O59" s="16"/>
      <c r="P59" s="16"/>
      <c r="Q59" s="16"/>
      <c r="R59" s="16"/>
      <c r="S59" s="16"/>
      <c r="T59" s="16"/>
      <c r="U59" s="250">
        <f t="shared" si="4"/>
        <v>2</v>
      </c>
      <c r="V59" s="250"/>
    </row>
    <row r="60" spans="1:22">
      <c r="A60" s="87" t="s">
        <v>89</v>
      </c>
      <c r="B60" s="86" t="s">
        <v>40</v>
      </c>
      <c r="C60" s="16">
        <f t="shared" si="5"/>
        <v>0</v>
      </c>
      <c r="D60" s="16"/>
      <c r="E60" s="16">
        <f t="shared" si="6"/>
        <v>1</v>
      </c>
      <c r="F60" s="16"/>
      <c r="G60" s="16">
        <f t="shared" si="7"/>
        <v>0</v>
      </c>
      <c r="H60" s="16"/>
      <c r="I60" s="16"/>
      <c r="J60" s="16">
        <f t="shared" si="8"/>
        <v>0</v>
      </c>
      <c r="K60" s="16"/>
      <c r="L60" s="16">
        <v>0</v>
      </c>
      <c r="M60" s="16"/>
      <c r="N60" s="16">
        <v>0</v>
      </c>
      <c r="O60" s="16"/>
      <c r="P60" s="16"/>
      <c r="Q60" s="16"/>
      <c r="R60" s="16"/>
      <c r="S60" s="16"/>
      <c r="T60" s="16"/>
      <c r="U60" s="250">
        <f t="shared" si="4"/>
        <v>1</v>
      </c>
      <c r="V60" s="250"/>
    </row>
    <row r="61" spans="1:22" s="1" customFormat="1">
      <c r="A61" s="87" t="s">
        <v>93</v>
      </c>
      <c r="B61" s="86" t="s">
        <v>40</v>
      </c>
      <c r="C61" s="16">
        <f t="shared" si="5"/>
        <v>0</v>
      </c>
      <c r="D61" s="16"/>
      <c r="E61" s="16">
        <f t="shared" si="6"/>
        <v>0</v>
      </c>
      <c r="F61" s="16"/>
      <c r="G61" s="16">
        <f t="shared" si="7"/>
        <v>2</v>
      </c>
      <c r="H61" s="16"/>
      <c r="I61" s="16"/>
      <c r="J61" s="16">
        <f t="shared" si="8"/>
        <v>3</v>
      </c>
      <c r="K61" s="16"/>
      <c r="L61" s="16">
        <v>0</v>
      </c>
      <c r="M61" s="16"/>
      <c r="N61" s="16">
        <v>0</v>
      </c>
      <c r="O61" s="16"/>
      <c r="P61" s="16"/>
      <c r="Q61" s="16"/>
      <c r="R61" s="16"/>
      <c r="S61" s="16"/>
      <c r="T61" s="16"/>
      <c r="U61" s="250">
        <f t="shared" si="4"/>
        <v>5</v>
      </c>
      <c r="V61" s="250"/>
    </row>
    <row r="62" spans="1:22" s="1" customFormat="1">
      <c r="A62" s="87" t="s">
        <v>97</v>
      </c>
      <c r="B62" s="86" t="s">
        <v>40</v>
      </c>
      <c r="C62" s="16">
        <f t="shared" si="5"/>
        <v>0</v>
      </c>
      <c r="D62" s="16"/>
      <c r="E62" s="16">
        <f t="shared" si="6"/>
        <v>0</v>
      </c>
      <c r="F62" s="16"/>
      <c r="G62" s="16">
        <f t="shared" si="7"/>
        <v>3</v>
      </c>
      <c r="H62" s="16"/>
      <c r="I62" s="16"/>
      <c r="J62" s="16">
        <f t="shared" si="8"/>
        <v>0</v>
      </c>
      <c r="K62" s="16"/>
      <c r="L62" s="16">
        <v>0</v>
      </c>
      <c r="M62" s="16"/>
      <c r="N62" s="16">
        <v>0</v>
      </c>
      <c r="O62" s="16"/>
      <c r="P62" s="16"/>
      <c r="Q62" s="16"/>
      <c r="R62" s="16"/>
      <c r="S62" s="16"/>
      <c r="T62" s="16"/>
      <c r="U62" s="250">
        <f t="shared" si="4"/>
        <v>3</v>
      </c>
      <c r="V62" s="250"/>
    </row>
    <row r="63" spans="1:22" s="1" customFormat="1">
      <c r="A63" s="87" t="s">
        <v>121</v>
      </c>
      <c r="B63" s="86" t="s">
        <v>39</v>
      </c>
      <c r="C63" s="16">
        <v>0</v>
      </c>
      <c r="D63" s="16"/>
      <c r="E63" s="16">
        <v>23</v>
      </c>
      <c r="F63" s="16"/>
      <c r="G63" s="16">
        <v>23</v>
      </c>
      <c r="H63" s="16"/>
      <c r="I63" s="16"/>
      <c r="J63" s="16"/>
      <c r="K63" s="16"/>
      <c r="L63" s="16"/>
      <c r="M63" s="16"/>
      <c r="N63" s="16"/>
      <c r="O63" s="16"/>
      <c r="P63" s="16"/>
      <c r="Q63" s="16"/>
      <c r="R63" s="16"/>
      <c r="S63" s="16"/>
      <c r="T63" s="16"/>
      <c r="U63" s="250">
        <f t="shared" si="4"/>
        <v>46</v>
      </c>
      <c r="V63" s="250"/>
    </row>
    <row r="64" spans="1:22" s="1" customFormat="1">
      <c r="A64" s="87" t="s">
        <v>127</v>
      </c>
      <c r="B64" s="86" t="s">
        <v>40</v>
      </c>
      <c r="C64" s="16">
        <f>G121</f>
        <v>6</v>
      </c>
      <c r="D64" s="16"/>
      <c r="E64" s="16">
        <f>M121</f>
        <v>4</v>
      </c>
      <c r="F64" s="16"/>
      <c r="G64" s="16">
        <f>V121</f>
        <v>11</v>
      </c>
      <c r="H64" s="16"/>
      <c r="I64" s="16"/>
      <c r="J64" s="16">
        <f>AD121</f>
        <v>2</v>
      </c>
      <c r="K64" s="16"/>
      <c r="L64" s="16"/>
      <c r="M64" s="16"/>
      <c r="N64" s="16"/>
      <c r="O64" s="16"/>
      <c r="P64" s="16"/>
      <c r="Q64" s="16"/>
      <c r="R64" s="16"/>
      <c r="S64" s="16"/>
      <c r="T64" s="16"/>
      <c r="U64" s="250">
        <f t="shared" ref="U64" si="9">SUM(C64:T64)</f>
        <v>23</v>
      </c>
      <c r="V64" s="250"/>
    </row>
    <row r="65" spans="1:23" s="1" customFormat="1">
      <c r="A65" s="87" t="s">
        <v>128</v>
      </c>
      <c r="B65" s="86" t="s">
        <v>39</v>
      </c>
      <c r="C65" s="16">
        <f>G122</f>
        <v>102</v>
      </c>
      <c r="D65" s="16"/>
      <c r="E65" s="16">
        <f>M122</f>
        <v>155</v>
      </c>
      <c r="F65" s="16"/>
      <c r="G65" s="16">
        <f>V122</f>
        <v>353</v>
      </c>
      <c r="H65" s="16"/>
      <c r="I65" s="16"/>
      <c r="J65" s="16">
        <f>AD122</f>
        <v>54</v>
      </c>
      <c r="K65" s="16"/>
      <c r="L65" s="16"/>
      <c r="M65" s="16"/>
      <c r="N65" s="16"/>
      <c r="O65" s="16"/>
      <c r="P65" s="16"/>
      <c r="Q65" s="16"/>
      <c r="R65" s="16"/>
      <c r="S65" s="16"/>
      <c r="T65" s="16"/>
      <c r="U65" s="250">
        <f>SUM(C65:T65)</f>
        <v>664</v>
      </c>
      <c r="V65" s="250"/>
    </row>
    <row r="66" spans="1:23" s="1" customFormat="1">
      <c r="A66" s="87" t="s">
        <v>106</v>
      </c>
      <c r="B66" s="19" t="s">
        <v>39</v>
      </c>
      <c r="C66" s="16">
        <f>E127+E133</f>
        <v>1564</v>
      </c>
      <c r="D66" s="16"/>
      <c r="E66" s="16">
        <f>G127+G133</f>
        <v>3658</v>
      </c>
      <c r="F66" s="16"/>
      <c r="G66" s="16">
        <f>I127+I133</f>
        <v>5989</v>
      </c>
      <c r="H66" s="16"/>
      <c r="I66" s="16"/>
      <c r="J66" s="16">
        <f>K127+K133</f>
        <v>1689</v>
      </c>
      <c r="K66" s="16"/>
      <c r="L66" s="16">
        <v>0</v>
      </c>
      <c r="M66" s="16"/>
      <c r="N66" s="16">
        <v>0</v>
      </c>
      <c r="O66" s="16"/>
      <c r="P66" s="16"/>
      <c r="Q66" s="16"/>
      <c r="R66" s="16"/>
      <c r="S66" s="16"/>
      <c r="T66" s="16"/>
      <c r="U66" s="250">
        <f t="shared" si="4"/>
        <v>12900</v>
      </c>
      <c r="V66" s="250"/>
    </row>
    <row r="67" spans="1:23" s="1" customFormat="1">
      <c r="A67" s="87" t="s">
        <v>103</v>
      </c>
      <c r="B67" s="19" t="s">
        <v>34</v>
      </c>
      <c r="C67" s="88">
        <f>(E128+E134)/9</f>
        <v>79.055555555555557</v>
      </c>
      <c r="D67" s="88"/>
      <c r="E67" s="88">
        <f>(G128+G134)/9</f>
        <v>274.44444444444446</v>
      </c>
      <c r="F67" s="88"/>
      <c r="G67" s="88">
        <f>(I128+I134)/9</f>
        <v>190.22222222222223</v>
      </c>
      <c r="H67" s="88"/>
      <c r="I67" s="88"/>
      <c r="J67" s="88">
        <f>(K128+K134)/9</f>
        <v>58</v>
      </c>
      <c r="K67" s="16"/>
      <c r="L67" s="16">
        <v>0</v>
      </c>
      <c r="M67" s="16"/>
      <c r="N67" s="16">
        <v>0</v>
      </c>
      <c r="O67" s="16"/>
      <c r="P67" s="16"/>
      <c r="Q67" s="16"/>
      <c r="R67" s="16"/>
      <c r="S67" s="16"/>
      <c r="T67" s="16"/>
      <c r="U67" s="255">
        <f>ROUNDUP(SUM(C67:T67),0)</f>
        <v>602</v>
      </c>
      <c r="V67" s="255"/>
    </row>
    <row r="68" spans="1:23" s="1" customFormat="1">
      <c r="A68" s="87" t="s">
        <v>102</v>
      </c>
      <c r="B68" s="19" t="s">
        <v>34</v>
      </c>
      <c r="C68" s="88">
        <f>(E129+E135)/9</f>
        <v>150.11111111111111</v>
      </c>
      <c r="D68" s="88"/>
      <c r="E68" s="88">
        <f>(G129+G135)/9</f>
        <v>363.44444444444446</v>
      </c>
      <c r="F68" s="88"/>
      <c r="G68" s="88">
        <f>(I129+I135)/9</f>
        <v>257.33333333333331</v>
      </c>
      <c r="H68" s="88"/>
      <c r="I68" s="88"/>
      <c r="J68" s="88">
        <f>(K129+K135)/9</f>
        <v>74.444444444444443</v>
      </c>
      <c r="K68" s="16"/>
      <c r="L68" s="16">
        <v>0</v>
      </c>
      <c r="M68" s="16"/>
      <c r="N68" s="16">
        <v>0</v>
      </c>
      <c r="O68" s="16"/>
      <c r="P68" s="16"/>
      <c r="Q68" s="16"/>
      <c r="R68" s="16"/>
      <c r="S68" s="16"/>
      <c r="T68" s="16"/>
      <c r="U68" s="255">
        <f>ROUNDUP(SUM(C68:T68),0)</f>
        <v>846</v>
      </c>
      <c r="V68" s="255"/>
      <c r="W68" s="126"/>
    </row>
    <row r="69" spans="1:23" s="1" customFormat="1">
      <c r="A69" s="87" t="s">
        <v>108</v>
      </c>
      <c r="B69" s="19" t="s">
        <v>41</v>
      </c>
      <c r="C69" s="16"/>
      <c r="D69" s="16"/>
      <c r="E69" s="16">
        <v>3684.6</v>
      </c>
      <c r="F69" s="16"/>
      <c r="G69" s="16">
        <v>3808.5</v>
      </c>
      <c r="H69" s="16"/>
      <c r="I69" s="16"/>
      <c r="J69" s="16"/>
      <c r="K69" s="16"/>
      <c r="L69" s="16"/>
      <c r="M69" s="16"/>
      <c r="N69" s="16"/>
      <c r="O69" s="16"/>
      <c r="P69" s="16"/>
      <c r="Q69" s="16"/>
      <c r="R69" s="16"/>
      <c r="S69" s="16"/>
      <c r="T69" s="16"/>
      <c r="U69" s="250">
        <f>ROUNDUP(SUM(C69:T69),0)</f>
        <v>7494</v>
      </c>
      <c r="V69" s="250"/>
    </row>
    <row r="70" spans="1:23" s="1" customFormat="1">
      <c r="A70" s="91" t="s">
        <v>129</v>
      </c>
      <c r="B70" s="19" t="s">
        <v>41</v>
      </c>
      <c r="C70" s="16"/>
      <c r="D70" s="16"/>
      <c r="E70" s="16">
        <v>1638.4</v>
      </c>
      <c r="F70" s="16"/>
      <c r="G70" s="16">
        <v>412.8</v>
      </c>
      <c r="H70" s="16"/>
      <c r="I70" s="16"/>
      <c r="J70" s="16"/>
      <c r="K70" s="16"/>
      <c r="L70" s="16"/>
      <c r="M70" s="16"/>
      <c r="N70" s="16"/>
      <c r="O70" s="16"/>
      <c r="P70" s="16"/>
      <c r="Q70" s="16"/>
      <c r="R70" s="16"/>
      <c r="S70" s="16"/>
      <c r="T70" s="16"/>
      <c r="U70" s="250">
        <f>ROUNDUP(SUM(C70:T70),0)</f>
        <v>2052</v>
      </c>
      <c r="V70" s="250"/>
    </row>
    <row r="71" spans="1:23" s="1" customFormat="1">
      <c r="A71" s="87" t="s">
        <v>109</v>
      </c>
      <c r="B71" s="19" t="s">
        <v>41</v>
      </c>
      <c r="C71" s="16"/>
      <c r="D71" s="16"/>
      <c r="E71" s="16">
        <v>500</v>
      </c>
      <c r="F71" s="16"/>
      <c r="G71" s="16">
        <v>120</v>
      </c>
      <c r="H71" s="16"/>
      <c r="I71" s="16"/>
      <c r="J71" s="16"/>
      <c r="K71" s="16"/>
      <c r="L71" s="16"/>
      <c r="M71" s="16"/>
      <c r="N71" s="16"/>
      <c r="O71" s="16"/>
      <c r="P71" s="16"/>
      <c r="Q71" s="16"/>
      <c r="R71" s="16"/>
      <c r="S71" s="16"/>
      <c r="T71" s="16"/>
      <c r="U71" s="250">
        <f t="shared" si="4"/>
        <v>620</v>
      </c>
      <c r="V71" s="250"/>
    </row>
    <row r="72" spans="1:23" s="1" customFormat="1">
      <c r="A72" s="87" t="s">
        <v>111</v>
      </c>
      <c r="B72" s="19" t="s">
        <v>39</v>
      </c>
      <c r="C72" s="16"/>
      <c r="D72" s="16"/>
      <c r="E72" s="16"/>
      <c r="F72" s="16"/>
      <c r="G72" s="16"/>
      <c r="H72" s="16"/>
      <c r="I72" s="16"/>
      <c r="J72" s="16"/>
      <c r="K72" s="16"/>
      <c r="L72" s="16"/>
      <c r="M72" s="16"/>
      <c r="N72" s="81">
        <f>51+156+49+201+144+152+169+61+55+24+47</f>
        <v>1109</v>
      </c>
      <c r="O72" s="16"/>
      <c r="P72" s="16"/>
      <c r="Q72" s="16"/>
      <c r="R72" s="16"/>
      <c r="S72" s="16"/>
      <c r="T72" s="16"/>
      <c r="U72" s="250">
        <f>ROUND((SUM(C72:T72)/2),0)</f>
        <v>555</v>
      </c>
      <c r="V72" s="250"/>
    </row>
    <row r="73" spans="1:23" s="1" customFormat="1">
      <c r="A73" s="83" t="s">
        <v>113</v>
      </c>
      <c r="B73" s="19" t="s">
        <v>40</v>
      </c>
      <c r="C73" s="16"/>
      <c r="D73" s="16"/>
      <c r="E73" s="16">
        <v>2</v>
      </c>
      <c r="F73" s="16"/>
      <c r="G73" s="16"/>
      <c r="H73" s="16"/>
      <c r="I73" s="16"/>
      <c r="J73" s="16"/>
      <c r="K73" s="16"/>
      <c r="L73" s="16"/>
      <c r="M73" s="16"/>
      <c r="N73" s="16"/>
      <c r="O73" s="16"/>
      <c r="P73" s="16"/>
      <c r="Q73" s="16"/>
      <c r="R73" s="16"/>
      <c r="S73" s="16"/>
      <c r="T73" s="16"/>
      <c r="U73" s="250">
        <f t="shared" si="4"/>
        <v>2</v>
      </c>
      <c r="V73" s="250"/>
    </row>
    <row r="74" spans="1:23" s="1" customFormat="1">
      <c r="A74" s="83" t="s">
        <v>114</v>
      </c>
      <c r="B74" s="19" t="s">
        <v>40</v>
      </c>
      <c r="C74" s="16"/>
      <c r="D74" s="16"/>
      <c r="E74" s="16">
        <v>2</v>
      </c>
      <c r="F74" s="16"/>
      <c r="G74" s="16"/>
      <c r="H74" s="16"/>
      <c r="I74" s="16"/>
      <c r="J74" s="16"/>
      <c r="K74" s="16"/>
      <c r="L74" s="16"/>
      <c r="M74" s="16"/>
      <c r="N74" s="16"/>
      <c r="O74" s="16"/>
      <c r="P74" s="16"/>
      <c r="Q74" s="16"/>
      <c r="R74" s="16"/>
      <c r="S74" s="16"/>
      <c r="T74" s="16"/>
      <c r="U74" s="250">
        <f t="shared" si="4"/>
        <v>2</v>
      </c>
      <c r="V74" s="250"/>
    </row>
    <row r="75" spans="1:23" s="1" customFormat="1">
      <c r="A75" s="83" t="s">
        <v>115</v>
      </c>
      <c r="B75" s="19" t="s">
        <v>39</v>
      </c>
      <c r="C75" s="16"/>
      <c r="D75" s="16"/>
      <c r="E75" s="16">
        <v>10</v>
      </c>
      <c r="F75" s="16"/>
      <c r="G75" s="16"/>
      <c r="H75" s="16"/>
      <c r="I75" s="16"/>
      <c r="J75" s="16"/>
      <c r="K75" s="16"/>
      <c r="L75" s="16"/>
      <c r="M75" s="16"/>
      <c r="N75" s="16"/>
      <c r="O75" s="16"/>
      <c r="P75" s="16"/>
      <c r="Q75" s="16"/>
      <c r="R75" s="16"/>
      <c r="S75" s="16"/>
      <c r="T75" s="16"/>
      <c r="U75" s="250">
        <f t="shared" si="4"/>
        <v>10</v>
      </c>
      <c r="V75" s="250"/>
    </row>
    <row r="76" spans="1:23" s="1" customFormat="1">
      <c r="A76" s="83" t="s">
        <v>77</v>
      </c>
      <c r="B76" s="19" t="s">
        <v>40</v>
      </c>
      <c r="C76" s="16"/>
      <c r="D76" s="16"/>
      <c r="E76" s="16">
        <v>2</v>
      </c>
      <c r="F76" s="16"/>
      <c r="G76" s="16"/>
      <c r="H76" s="16"/>
      <c r="I76" s="16"/>
      <c r="J76" s="16"/>
      <c r="K76" s="16"/>
      <c r="L76" s="16"/>
      <c r="M76" s="16"/>
      <c r="N76" s="16"/>
      <c r="O76" s="16"/>
      <c r="P76" s="16"/>
      <c r="Q76" s="16"/>
      <c r="R76" s="16"/>
      <c r="S76" s="16"/>
      <c r="T76" s="16"/>
      <c r="U76" s="250">
        <f t="shared" si="4"/>
        <v>2</v>
      </c>
      <c r="V76" s="250"/>
    </row>
    <row r="77" spans="1:23" s="1" customFormat="1">
      <c r="A77" s="83" t="s">
        <v>116</v>
      </c>
      <c r="B77" s="19" t="s">
        <v>40</v>
      </c>
      <c r="C77" s="16"/>
      <c r="D77" s="16"/>
      <c r="E77" s="16">
        <v>2</v>
      </c>
      <c r="F77" s="16"/>
      <c r="G77" s="16"/>
      <c r="H77" s="16"/>
      <c r="I77" s="16"/>
      <c r="J77" s="16"/>
      <c r="K77" s="16"/>
      <c r="L77" s="16"/>
      <c r="M77" s="16"/>
      <c r="N77" s="16"/>
      <c r="O77" s="16"/>
      <c r="P77" s="16"/>
      <c r="Q77" s="16"/>
      <c r="R77" s="16"/>
      <c r="S77" s="16"/>
      <c r="T77" s="16"/>
      <c r="U77" s="250">
        <f t="shared" si="4"/>
        <v>2</v>
      </c>
      <c r="V77" s="250"/>
    </row>
    <row r="78" spans="1:23" s="1" customFormat="1">
      <c r="A78" s="87" t="s">
        <v>126</v>
      </c>
      <c r="B78" s="19" t="s">
        <v>39</v>
      </c>
      <c r="C78" s="16">
        <f>D165</f>
        <v>10232</v>
      </c>
      <c r="D78" s="16"/>
      <c r="E78" s="16">
        <f>F165</f>
        <v>3121</v>
      </c>
      <c r="F78" s="16"/>
      <c r="G78" s="16">
        <f>H165</f>
        <v>7302</v>
      </c>
      <c r="H78" s="16"/>
      <c r="I78" s="16"/>
      <c r="J78" s="16">
        <f>J165</f>
        <v>11731</v>
      </c>
      <c r="K78" s="16"/>
      <c r="L78" s="16">
        <f>L165</f>
        <v>9004</v>
      </c>
      <c r="M78" s="16"/>
      <c r="N78" s="16">
        <f>N165</f>
        <v>5733</v>
      </c>
      <c r="O78" s="16"/>
      <c r="P78" s="16"/>
      <c r="Q78" s="16"/>
      <c r="R78" s="16"/>
      <c r="S78" s="16"/>
      <c r="T78" s="16"/>
      <c r="U78" s="250">
        <f>SUM(C78:T78)</f>
        <v>47123</v>
      </c>
      <c r="V78" s="250"/>
    </row>
    <row r="79" spans="1:23" s="1" customFormat="1">
      <c r="A79" s="87"/>
      <c r="B79" s="19"/>
      <c r="C79" s="16"/>
      <c r="D79" s="16"/>
      <c r="E79" s="16"/>
      <c r="F79" s="16"/>
      <c r="G79" s="16"/>
      <c r="H79" s="16"/>
      <c r="I79" s="16"/>
      <c r="J79" s="16"/>
      <c r="K79" s="16"/>
      <c r="L79" s="16"/>
      <c r="M79" s="16"/>
      <c r="N79" s="16"/>
      <c r="O79" s="16"/>
      <c r="P79" s="16"/>
      <c r="Q79" s="16"/>
      <c r="R79" s="16"/>
      <c r="S79" s="16"/>
      <c r="T79" s="16"/>
      <c r="U79" s="250">
        <f t="shared" si="4"/>
        <v>0</v>
      </c>
      <c r="V79" s="250"/>
    </row>
    <row r="80" spans="1:23" s="1" customFormat="1">
      <c r="A80" s="87"/>
      <c r="B80" s="19"/>
      <c r="C80" s="16"/>
      <c r="D80" s="16"/>
      <c r="E80" s="16"/>
      <c r="F80" s="16"/>
      <c r="G80" s="16"/>
      <c r="H80" s="16"/>
      <c r="I80" s="16"/>
      <c r="J80" s="16"/>
      <c r="K80" s="16"/>
      <c r="L80" s="16"/>
      <c r="M80" s="16"/>
      <c r="N80" s="16"/>
      <c r="O80" s="16"/>
      <c r="P80" s="16"/>
      <c r="Q80" s="16"/>
      <c r="R80" s="16"/>
      <c r="S80" s="16"/>
      <c r="T80" s="16"/>
      <c r="U80" s="250">
        <f t="shared" si="4"/>
        <v>0</v>
      </c>
      <c r="V80" s="250"/>
    </row>
    <row r="81" spans="1:22" s="1" customFormat="1">
      <c r="A81" s="87"/>
      <c r="B81" s="19"/>
      <c r="C81" s="16"/>
      <c r="D81" s="16"/>
      <c r="E81" s="16"/>
      <c r="F81" s="16"/>
      <c r="G81" s="16"/>
      <c r="H81" s="16"/>
      <c r="I81" s="16"/>
      <c r="J81" s="16"/>
      <c r="K81" s="16"/>
      <c r="L81" s="16"/>
      <c r="M81" s="16"/>
      <c r="N81" s="16"/>
      <c r="O81" s="16"/>
      <c r="P81" s="16"/>
      <c r="Q81" s="16"/>
      <c r="R81" s="16"/>
      <c r="S81" s="16"/>
      <c r="T81" s="16"/>
      <c r="U81" s="250">
        <f t="shared" si="4"/>
        <v>0</v>
      </c>
      <c r="V81" s="250"/>
    </row>
    <row r="82" spans="1:22" s="1" customFormat="1">
      <c r="A82" s="87"/>
      <c r="B82" s="19"/>
      <c r="C82" s="16"/>
      <c r="D82" s="16"/>
      <c r="E82" s="16"/>
      <c r="F82" s="16"/>
      <c r="G82" s="16"/>
      <c r="H82" s="16"/>
      <c r="I82" s="16"/>
      <c r="J82" s="16"/>
      <c r="K82" s="16"/>
      <c r="L82" s="16"/>
      <c r="M82" s="16"/>
      <c r="N82" s="16"/>
      <c r="O82" s="16"/>
      <c r="P82" s="16"/>
      <c r="Q82" s="16"/>
      <c r="R82" s="16"/>
      <c r="S82" s="16"/>
      <c r="T82" s="16"/>
      <c r="U82" s="250">
        <f t="shared" si="4"/>
        <v>0</v>
      </c>
      <c r="V82" s="250"/>
    </row>
    <row r="83" spans="1:22" s="1" customFormat="1">
      <c r="A83" s="87"/>
      <c r="B83" s="19"/>
      <c r="C83" s="16"/>
      <c r="D83" s="16"/>
      <c r="E83" s="16"/>
      <c r="F83" s="16"/>
      <c r="G83" s="16"/>
      <c r="H83" s="16"/>
      <c r="I83" s="16"/>
      <c r="J83" s="16"/>
      <c r="K83" s="16"/>
      <c r="L83" s="16"/>
      <c r="M83" s="16"/>
      <c r="N83" s="16"/>
      <c r="O83" s="16"/>
      <c r="P83" s="16"/>
      <c r="Q83" s="16"/>
      <c r="R83" s="16"/>
      <c r="S83" s="16"/>
      <c r="T83" s="16"/>
      <c r="U83" s="250">
        <f t="shared" si="4"/>
        <v>0</v>
      </c>
      <c r="V83" s="250"/>
    </row>
    <row r="84" spans="1:22" s="1" customFormat="1">
      <c r="A84" s="87"/>
      <c r="B84" s="19"/>
      <c r="C84" s="16"/>
      <c r="D84" s="16"/>
      <c r="E84" s="16"/>
      <c r="F84" s="16"/>
      <c r="G84" s="16"/>
      <c r="H84" s="16"/>
      <c r="I84" s="16"/>
      <c r="J84" s="16"/>
      <c r="K84" s="16"/>
      <c r="L84" s="16"/>
      <c r="M84" s="16"/>
      <c r="N84" s="16"/>
      <c r="O84" s="16"/>
      <c r="P84" s="16"/>
      <c r="Q84" s="16"/>
      <c r="R84" s="16"/>
      <c r="S84" s="16"/>
      <c r="T84" s="16"/>
      <c r="U84" s="250">
        <f t="shared" si="4"/>
        <v>0</v>
      </c>
      <c r="V84" s="250"/>
    </row>
    <row r="85" spans="1:22" s="1" customFormat="1">
      <c r="A85" s="87"/>
      <c r="B85" s="19"/>
      <c r="C85" s="16"/>
      <c r="D85" s="16"/>
      <c r="E85" s="16"/>
      <c r="F85" s="16"/>
      <c r="G85" s="16"/>
      <c r="H85" s="16"/>
      <c r="I85" s="16"/>
      <c r="J85" s="16"/>
      <c r="K85" s="16"/>
      <c r="L85" s="16"/>
      <c r="M85" s="16"/>
      <c r="N85" s="16"/>
      <c r="O85" s="16"/>
      <c r="P85" s="16"/>
      <c r="Q85" s="16"/>
      <c r="R85" s="16"/>
      <c r="S85" s="16"/>
      <c r="T85" s="16"/>
      <c r="U85" s="250">
        <f t="shared" si="4"/>
        <v>0</v>
      </c>
      <c r="V85" s="250"/>
    </row>
    <row r="86" spans="1:22" s="1" customFormat="1">
      <c r="A86" s="87"/>
      <c r="B86" s="19"/>
      <c r="C86" s="16"/>
      <c r="D86" s="16"/>
      <c r="E86" s="16"/>
      <c r="F86" s="16"/>
      <c r="G86" s="16"/>
      <c r="H86" s="16"/>
      <c r="I86" s="16"/>
      <c r="J86" s="16"/>
      <c r="K86" s="16"/>
      <c r="L86" s="16"/>
      <c r="M86" s="16"/>
      <c r="N86" s="16"/>
      <c r="O86" s="16"/>
      <c r="P86" s="16"/>
      <c r="Q86" s="16"/>
      <c r="R86" s="16"/>
      <c r="S86" s="16"/>
      <c r="T86" s="16"/>
      <c r="U86" s="250">
        <f t="shared" si="4"/>
        <v>0</v>
      </c>
      <c r="V86" s="250"/>
    </row>
    <row r="87" spans="1:22" s="1" customFormat="1">
      <c r="A87" s="87"/>
      <c r="B87" s="19"/>
      <c r="C87" s="16"/>
      <c r="D87" s="16"/>
      <c r="E87" s="16"/>
      <c r="F87" s="16"/>
      <c r="G87" s="16"/>
      <c r="H87" s="16"/>
      <c r="I87" s="16"/>
      <c r="J87" s="16"/>
      <c r="K87" s="16"/>
      <c r="L87" s="16"/>
      <c r="M87" s="16"/>
      <c r="N87" s="16"/>
      <c r="O87" s="16"/>
      <c r="P87" s="16"/>
      <c r="Q87" s="16"/>
      <c r="R87" s="16"/>
      <c r="S87" s="16"/>
      <c r="T87" s="16"/>
      <c r="U87" s="250">
        <f t="shared" si="4"/>
        <v>0</v>
      </c>
      <c r="V87" s="250"/>
    </row>
    <row r="88" spans="1:22" s="1" customFormat="1">
      <c r="A88" s="87"/>
      <c r="B88" s="19"/>
      <c r="C88" s="16"/>
      <c r="D88" s="89"/>
      <c r="E88" s="89"/>
      <c r="F88" s="89"/>
      <c r="G88" s="89"/>
      <c r="H88" s="89"/>
      <c r="I88" s="89"/>
      <c r="J88" s="89"/>
      <c r="K88" s="89"/>
      <c r="L88" s="89"/>
      <c r="M88" s="89"/>
      <c r="N88" s="89"/>
      <c r="O88" s="89"/>
      <c r="P88" s="89"/>
      <c r="Q88" s="89"/>
      <c r="R88" s="89"/>
      <c r="S88" s="89"/>
      <c r="T88" s="89"/>
      <c r="U88" s="250">
        <f t="shared" si="4"/>
        <v>0</v>
      </c>
      <c r="V88" s="250"/>
    </row>
    <row r="89" spans="1:22">
      <c r="A89" s="16"/>
      <c r="B89" s="16"/>
      <c r="C89" s="16"/>
      <c r="D89" s="16"/>
      <c r="E89" s="16"/>
      <c r="F89" s="16"/>
      <c r="G89" s="16"/>
      <c r="H89" s="16"/>
      <c r="I89" s="16"/>
      <c r="J89" s="16"/>
      <c r="K89" s="16"/>
      <c r="L89" s="16"/>
      <c r="M89" s="16"/>
      <c r="N89" s="16"/>
      <c r="O89" s="16"/>
      <c r="P89" s="16"/>
      <c r="Q89" s="16"/>
      <c r="R89" s="16"/>
      <c r="S89" s="16"/>
      <c r="T89" s="16"/>
      <c r="U89" s="250">
        <f t="shared" si="4"/>
        <v>0</v>
      </c>
      <c r="V89" s="250"/>
    </row>
    <row r="90" spans="1:22" s="1" customFormat="1">
      <c r="A90" s="23"/>
      <c r="B90" s="23"/>
      <c r="C90" s="23"/>
      <c r="D90" s="23"/>
      <c r="E90" s="23"/>
      <c r="F90" s="23"/>
      <c r="G90" s="23"/>
      <c r="H90" s="23"/>
      <c r="I90" s="23"/>
      <c r="J90" s="23"/>
      <c r="K90" s="23"/>
      <c r="L90" s="23"/>
      <c r="M90" s="23"/>
      <c r="N90" s="23"/>
      <c r="O90" s="23"/>
      <c r="P90" s="23"/>
      <c r="Q90" s="23"/>
      <c r="R90" s="23"/>
      <c r="S90" s="23"/>
      <c r="T90" s="23"/>
      <c r="U90" s="82"/>
      <c r="V90" s="82"/>
    </row>
    <row r="91" spans="1:22" s="1" customFormat="1" hidden="1">
      <c r="A91" s="23"/>
      <c r="B91" s="23"/>
      <c r="C91" s="23"/>
      <c r="D91" s="23"/>
      <c r="E91" s="23"/>
      <c r="F91" s="23"/>
      <c r="G91" s="23"/>
      <c r="H91" s="23"/>
      <c r="I91" s="23"/>
      <c r="J91" s="23"/>
      <c r="K91" s="23"/>
      <c r="L91" s="23"/>
      <c r="M91" s="23"/>
      <c r="N91" s="23"/>
      <c r="O91" s="23"/>
      <c r="P91" s="23"/>
      <c r="Q91" s="23"/>
      <c r="R91" s="23"/>
      <c r="S91" s="23"/>
      <c r="T91" s="23"/>
      <c r="U91" s="82"/>
      <c r="V91" s="82"/>
    </row>
    <row r="92" spans="1:22" s="1" customFormat="1" hidden="1">
      <c r="A92" s="23"/>
      <c r="B92" s="23"/>
      <c r="C92" s="23"/>
      <c r="D92" s="23"/>
      <c r="E92" s="23"/>
      <c r="F92" s="23"/>
      <c r="G92" s="23"/>
      <c r="H92" s="23"/>
      <c r="I92" s="23"/>
      <c r="J92" s="23"/>
      <c r="K92" s="23"/>
      <c r="L92" s="23"/>
      <c r="M92" s="23"/>
      <c r="N92" s="23"/>
      <c r="O92" s="23"/>
      <c r="P92" s="23"/>
      <c r="Q92" s="23"/>
      <c r="R92" s="23"/>
      <c r="S92" s="23"/>
      <c r="T92" s="23"/>
      <c r="U92" s="82"/>
      <c r="V92" s="82"/>
    </row>
    <row r="93" spans="1:22" s="1" customFormat="1" hidden="1">
      <c r="A93" s="23"/>
      <c r="B93" s="23"/>
      <c r="C93" s="23"/>
      <c r="D93" s="23"/>
      <c r="E93" s="23"/>
      <c r="F93" s="23"/>
      <c r="G93" s="23"/>
      <c r="H93" s="23"/>
      <c r="I93" s="23"/>
      <c r="J93" s="23"/>
      <c r="K93" s="23"/>
      <c r="L93" s="23"/>
      <c r="M93" s="23"/>
      <c r="N93" s="23"/>
      <c r="O93" s="23"/>
      <c r="P93" s="23"/>
      <c r="Q93" s="23"/>
      <c r="R93" s="23"/>
      <c r="S93" s="23"/>
      <c r="T93" s="23"/>
      <c r="U93" s="82"/>
      <c r="V93" s="82"/>
    </row>
    <row r="94" spans="1:22" s="1" customFormat="1" hidden="1">
      <c r="A94" s="23"/>
      <c r="B94" s="23"/>
      <c r="C94" s="23"/>
      <c r="D94" s="23"/>
      <c r="E94" s="23"/>
      <c r="F94" s="23"/>
      <c r="G94" s="23"/>
      <c r="H94" s="23"/>
      <c r="I94" s="23"/>
      <c r="J94" s="23"/>
      <c r="K94" s="23"/>
      <c r="L94" s="23"/>
      <c r="M94" s="23"/>
      <c r="N94" s="23"/>
      <c r="O94" s="23"/>
      <c r="P94" s="23"/>
      <c r="Q94" s="23"/>
      <c r="R94" s="23"/>
      <c r="S94" s="23"/>
      <c r="T94" s="23"/>
      <c r="U94" s="82"/>
      <c r="V94" s="82"/>
    </row>
    <row r="95" spans="1:22" s="1" customFormat="1" hidden="1">
      <c r="A95" s="23"/>
      <c r="B95" s="23"/>
      <c r="C95" s="23"/>
      <c r="D95" s="23"/>
      <c r="E95" s="23"/>
      <c r="F95" s="23"/>
      <c r="G95" s="23"/>
      <c r="H95" s="23"/>
      <c r="I95" s="23"/>
      <c r="J95" s="23"/>
      <c r="K95" s="23"/>
      <c r="L95" s="23"/>
      <c r="M95" s="23"/>
      <c r="N95" s="23"/>
      <c r="O95" s="23"/>
      <c r="P95" s="23"/>
      <c r="Q95" s="23"/>
      <c r="R95" s="23"/>
      <c r="S95" s="23"/>
      <c r="T95" s="23"/>
      <c r="U95" s="82"/>
      <c r="V95" s="82"/>
    </row>
    <row r="96" spans="1:22" s="1" customFormat="1" hidden="1">
      <c r="A96" s="23"/>
      <c r="B96" s="23"/>
      <c r="C96" s="23"/>
      <c r="D96" s="23"/>
      <c r="E96" s="23"/>
      <c r="F96" s="23"/>
      <c r="G96" s="23"/>
      <c r="H96" s="23"/>
      <c r="I96" s="23"/>
      <c r="J96" s="23"/>
      <c r="K96" s="23"/>
      <c r="L96" s="23"/>
      <c r="M96" s="23"/>
      <c r="N96" s="23"/>
      <c r="O96" s="23"/>
      <c r="P96" s="23"/>
      <c r="Q96" s="23"/>
      <c r="R96" s="23"/>
      <c r="S96" s="23"/>
      <c r="T96" s="23"/>
      <c r="U96" s="82"/>
      <c r="V96" s="82"/>
    </row>
    <row r="97" spans="1:31" s="1" customFormat="1" hidden="1">
      <c r="A97" s="23"/>
      <c r="B97" s="23"/>
      <c r="C97" s="23"/>
      <c r="D97" s="23"/>
      <c r="E97" s="23"/>
      <c r="F97" s="23"/>
      <c r="G97" s="23"/>
      <c r="H97" s="23"/>
      <c r="I97" s="23"/>
      <c r="J97" s="23"/>
      <c r="K97" s="23"/>
      <c r="L97" s="23"/>
      <c r="M97" s="23"/>
      <c r="N97" s="23"/>
      <c r="O97" s="23"/>
      <c r="P97" s="23"/>
      <c r="Q97" s="23"/>
      <c r="R97" s="23"/>
      <c r="S97" s="23"/>
      <c r="T97" s="23"/>
      <c r="U97" s="82"/>
      <c r="V97" s="82"/>
    </row>
    <row r="98" spans="1:31" s="1" customFormat="1" hidden="1">
      <c r="A98" s="23"/>
      <c r="B98" s="23"/>
      <c r="C98" s="23"/>
      <c r="D98" s="23"/>
      <c r="E98" s="23"/>
      <c r="F98" s="23"/>
      <c r="G98" s="23"/>
      <c r="H98" s="23"/>
      <c r="I98" s="23"/>
      <c r="J98" s="23"/>
      <c r="K98" s="23"/>
      <c r="L98" s="23"/>
      <c r="M98" s="23"/>
      <c r="N98" s="23"/>
      <c r="O98" s="23"/>
      <c r="P98" s="23"/>
      <c r="Q98" s="23"/>
      <c r="R98" s="23"/>
      <c r="S98" s="23"/>
      <c r="T98" s="23"/>
      <c r="U98" s="82"/>
      <c r="V98" s="82"/>
    </row>
    <row r="99" spans="1:31" s="1" customFormat="1" hidden="1">
      <c r="A99" s="23"/>
      <c r="B99" s="23"/>
      <c r="C99" s="23"/>
      <c r="D99" s="23"/>
      <c r="E99" s="23"/>
      <c r="F99" s="23"/>
      <c r="G99" s="23"/>
      <c r="H99" s="23"/>
      <c r="I99" s="23"/>
      <c r="J99" s="23"/>
      <c r="K99" s="23"/>
      <c r="L99" s="23"/>
      <c r="M99" s="23"/>
      <c r="N99" s="23"/>
      <c r="O99" s="23"/>
      <c r="P99" s="23"/>
      <c r="Q99" s="23"/>
      <c r="R99" s="23"/>
      <c r="S99" s="23"/>
      <c r="T99" s="23"/>
      <c r="U99" s="82"/>
      <c r="V99" s="82"/>
    </row>
    <row r="100" spans="1:31" s="1" customFormat="1" hidden="1">
      <c r="A100" s="23"/>
      <c r="B100" s="23"/>
      <c r="C100" s="23"/>
      <c r="D100" s="23"/>
      <c r="E100" s="23"/>
      <c r="F100" s="23"/>
      <c r="G100" s="23"/>
      <c r="H100" s="23"/>
      <c r="I100" s="23"/>
      <c r="J100" s="23"/>
      <c r="K100" s="23"/>
      <c r="L100" s="23"/>
      <c r="M100" s="23"/>
      <c r="N100" s="23"/>
      <c r="O100" s="23"/>
      <c r="P100" s="23"/>
      <c r="Q100" s="23"/>
      <c r="R100" s="23"/>
      <c r="S100" s="23"/>
      <c r="T100" s="23"/>
      <c r="U100" s="82"/>
      <c r="V100" s="82"/>
    </row>
    <row r="101" spans="1:31" s="1" customFormat="1">
      <c r="A101" s="23"/>
      <c r="B101" s="23"/>
      <c r="C101" s="23"/>
      <c r="D101" s="23"/>
      <c r="E101" s="23"/>
      <c r="F101" s="23"/>
      <c r="G101" s="23"/>
      <c r="H101" s="23"/>
      <c r="I101" s="23"/>
      <c r="J101" s="23"/>
      <c r="K101" s="23"/>
      <c r="L101" s="23"/>
      <c r="M101" s="23"/>
      <c r="N101" s="23"/>
      <c r="O101" s="23"/>
      <c r="P101" s="23"/>
      <c r="Q101" s="23"/>
      <c r="R101" s="23"/>
      <c r="S101" s="23"/>
      <c r="T101" s="23"/>
      <c r="U101" s="82"/>
      <c r="V101" s="82"/>
    </row>
    <row r="102" spans="1:31" s="1" customFormat="1">
      <c r="A102" s="23"/>
      <c r="B102" s="23"/>
      <c r="C102" s="23"/>
      <c r="D102" s="23"/>
      <c r="E102" s="23"/>
      <c r="F102" s="23"/>
      <c r="G102" s="23"/>
      <c r="H102" s="23"/>
      <c r="I102" s="23"/>
      <c r="J102" s="23"/>
      <c r="K102" s="23"/>
      <c r="L102" s="23"/>
      <c r="M102" s="23"/>
      <c r="N102" s="23"/>
      <c r="O102" s="23"/>
      <c r="P102" s="23"/>
      <c r="Q102" s="23"/>
      <c r="R102" s="23"/>
      <c r="S102" s="23"/>
      <c r="T102" s="23"/>
      <c r="U102" s="82"/>
      <c r="V102" s="82"/>
    </row>
    <row r="103" spans="1:31">
      <c r="B103" s="1"/>
      <c r="C103" s="1"/>
      <c r="D103" s="250" t="s">
        <v>18</v>
      </c>
      <c r="E103" s="250"/>
      <c r="F103" s="250"/>
      <c r="G103" s="250"/>
      <c r="H103" s="82"/>
      <c r="I103" s="250" t="s">
        <v>22</v>
      </c>
      <c r="J103" s="250"/>
      <c r="K103" s="250"/>
      <c r="L103" s="250"/>
      <c r="O103" s="245" t="s">
        <v>28</v>
      </c>
      <c r="P103" s="247"/>
      <c r="Q103" s="247"/>
      <c r="R103" s="247"/>
      <c r="S103" s="247"/>
      <c r="T103" s="247"/>
      <c r="U103" s="246"/>
      <c r="X103" s="83" t="s">
        <v>72</v>
      </c>
      <c r="Y103" s="129"/>
      <c r="Z103" s="130"/>
    </row>
    <row r="104" spans="1:31">
      <c r="B104" s="1"/>
      <c r="C104" s="1"/>
      <c r="D104" s="16" t="s">
        <v>80</v>
      </c>
      <c r="E104" s="16" t="s">
        <v>79</v>
      </c>
      <c r="F104" s="16" t="s">
        <v>81</v>
      </c>
      <c r="G104" s="18" t="s">
        <v>90</v>
      </c>
      <c r="H104" s="80"/>
      <c r="I104" s="16" t="s">
        <v>82</v>
      </c>
      <c r="J104" s="106" t="s">
        <v>83</v>
      </c>
      <c r="K104" s="106" t="s">
        <v>178</v>
      </c>
      <c r="L104" s="16" t="s">
        <v>85</v>
      </c>
      <c r="M104" s="18" t="s">
        <v>90</v>
      </c>
      <c r="O104" s="16" t="s">
        <v>91</v>
      </c>
      <c r="P104" s="16" t="s">
        <v>92</v>
      </c>
      <c r="Q104" s="16" t="s">
        <v>120</v>
      </c>
      <c r="R104" s="106" t="s">
        <v>179</v>
      </c>
      <c r="S104" s="16" t="s">
        <v>94</v>
      </c>
      <c r="T104" s="16" t="s">
        <v>95</v>
      </c>
      <c r="U104" s="16" t="s">
        <v>119</v>
      </c>
      <c r="V104" s="18" t="s">
        <v>90</v>
      </c>
      <c r="X104" s="84"/>
      <c r="Y104" s="84"/>
      <c r="Z104" s="84" t="s">
        <v>180</v>
      </c>
      <c r="AA104" s="16" t="s">
        <v>96</v>
      </c>
      <c r="AB104" s="16" t="s">
        <v>118</v>
      </c>
      <c r="AC104" s="106" t="s">
        <v>182</v>
      </c>
      <c r="AD104" s="16" t="s">
        <v>90</v>
      </c>
    </row>
    <row r="105" spans="1:31" s="1" customFormat="1">
      <c r="A105" s="252" t="s">
        <v>100</v>
      </c>
      <c r="B105" s="251" t="s">
        <v>75</v>
      </c>
      <c r="C105" s="251"/>
      <c r="D105" s="16">
        <v>30</v>
      </c>
      <c r="E105" s="16"/>
      <c r="F105" s="16"/>
      <c r="G105" s="16">
        <f>SUM(D105:F105)</f>
        <v>30</v>
      </c>
      <c r="H105" s="23"/>
      <c r="I105" s="16">
        <v>8</v>
      </c>
      <c r="J105" s="106"/>
      <c r="K105" s="106">
        <v>30</v>
      </c>
      <c r="L105" s="16"/>
      <c r="M105" s="16">
        <f>SUM(I105:L105)</f>
        <v>38</v>
      </c>
      <c r="O105" s="16"/>
      <c r="P105" s="16"/>
      <c r="Q105" s="16"/>
      <c r="R105" s="106">
        <v>91</v>
      </c>
      <c r="S105" s="16"/>
      <c r="T105" s="16"/>
      <c r="U105" s="16"/>
      <c r="V105" s="16">
        <f>SUM(O105:U105)</f>
        <v>91</v>
      </c>
      <c r="X105" s="251" t="s">
        <v>75</v>
      </c>
      <c r="Y105" s="251"/>
      <c r="Z105" s="96"/>
      <c r="AA105" s="250"/>
      <c r="AB105" s="250"/>
      <c r="AC105" s="105"/>
      <c r="AD105" s="16">
        <f>SUM(Z105:AC105)</f>
        <v>0</v>
      </c>
      <c r="AE105" s="1">
        <f>SUM(G105+M105+V105+AD105)</f>
        <v>159</v>
      </c>
    </row>
    <row r="106" spans="1:31" s="1" customFormat="1">
      <c r="A106" s="252"/>
      <c r="B106" s="251" t="s">
        <v>76</v>
      </c>
      <c r="C106" s="251"/>
      <c r="D106" s="16">
        <v>0</v>
      </c>
      <c r="E106" s="16">
        <f>26+8</f>
        <v>34</v>
      </c>
      <c r="F106" s="16">
        <v>4</v>
      </c>
      <c r="G106" s="106">
        <f t="shared" ref="G106:G122" si="10">SUM(D106:F106)</f>
        <v>38</v>
      </c>
      <c r="H106" s="23"/>
      <c r="I106" s="16"/>
      <c r="J106" s="106"/>
      <c r="K106" s="106"/>
      <c r="L106" s="16">
        <v>45</v>
      </c>
      <c r="M106" s="106">
        <f t="shared" ref="M106:M122" si="11">SUM(I106:L106)</f>
        <v>45</v>
      </c>
      <c r="O106" s="16">
        <v>110</v>
      </c>
      <c r="P106" s="16">
        <f>15+26</f>
        <v>41</v>
      </c>
      <c r="Q106" s="16">
        <f>35+4+4</f>
        <v>43</v>
      </c>
      <c r="R106" s="106"/>
      <c r="S106" s="16">
        <v>41</v>
      </c>
      <c r="T106" s="16">
        <v>41</v>
      </c>
      <c r="U106" s="16">
        <f>26+80+15</f>
        <v>121</v>
      </c>
      <c r="V106" s="106">
        <f t="shared" ref="V106:V122" si="12">SUM(O106:U106)</f>
        <v>397</v>
      </c>
      <c r="X106" s="251" t="s">
        <v>76</v>
      </c>
      <c r="Y106" s="251"/>
      <c r="Z106" s="96"/>
      <c r="AA106" s="250">
        <f>26+26+30+67</f>
        <v>149</v>
      </c>
      <c r="AB106" s="250"/>
      <c r="AC106" s="105">
        <v>58</v>
      </c>
      <c r="AD106" s="106">
        <f t="shared" ref="AD106:AD122" si="13">SUM(Z106:AC106)</f>
        <v>207</v>
      </c>
      <c r="AE106" s="1">
        <f>SUM(G106+M106+V106+AD106)</f>
        <v>687</v>
      </c>
    </row>
    <row r="107" spans="1:31" s="1" customFormat="1">
      <c r="A107" s="252"/>
      <c r="B107" s="251" t="s">
        <v>78</v>
      </c>
      <c r="C107" s="251"/>
      <c r="D107" s="16"/>
      <c r="E107" s="16"/>
      <c r="F107" s="16">
        <v>30</v>
      </c>
      <c r="G107" s="106">
        <f t="shared" si="10"/>
        <v>30</v>
      </c>
      <c r="H107" s="23"/>
      <c r="I107" s="16">
        <v>60</v>
      </c>
      <c r="J107" s="106"/>
      <c r="K107" s="106"/>
      <c r="L107" s="16"/>
      <c r="M107" s="106">
        <f t="shared" si="11"/>
        <v>60</v>
      </c>
      <c r="O107" s="16"/>
      <c r="P107" s="16"/>
      <c r="Q107" s="16"/>
      <c r="R107" s="106"/>
      <c r="S107" s="16"/>
      <c r="T107" s="16"/>
      <c r="U107" s="16"/>
      <c r="V107" s="106">
        <f t="shared" si="12"/>
        <v>0</v>
      </c>
      <c r="X107" s="251" t="s">
        <v>78</v>
      </c>
      <c r="Y107" s="251"/>
      <c r="Z107" s="96"/>
      <c r="AA107" s="250"/>
      <c r="AB107" s="250"/>
      <c r="AC107" s="105"/>
      <c r="AD107" s="106">
        <f t="shared" si="13"/>
        <v>0</v>
      </c>
      <c r="AE107" s="1">
        <f>SUM(G107+M107+V107+AD107)</f>
        <v>90</v>
      </c>
    </row>
    <row r="108" spans="1:31" s="1" customFormat="1">
      <c r="A108" s="252"/>
      <c r="B108" s="251" t="s">
        <v>84</v>
      </c>
      <c r="C108" s="251"/>
      <c r="D108" s="16"/>
      <c r="E108" s="16"/>
      <c r="F108" s="16"/>
      <c r="G108" s="106">
        <f t="shared" si="10"/>
        <v>0</v>
      </c>
      <c r="H108" s="23"/>
      <c r="I108" s="16"/>
      <c r="J108" s="106">
        <v>48</v>
      </c>
      <c r="K108" s="106"/>
      <c r="L108" s="16"/>
      <c r="M108" s="106">
        <f t="shared" si="11"/>
        <v>48</v>
      </c>
      <c r="O108" s="16"/>
      <c r="P108" s="16"/>
      <c r="Q108" s="16"/>
      <c r="R108" s="106"/>
      <c r="S108" s="16"/>
      <c r="T108" s="16"/>
      <c r="U108" s="16"/>
      <c r="V108" s="106">
        <f t="shared" si="12"/>
        <v>0</v>
      </c>
      <c r="X108" s="251" t="s">
        <v>84</v>
      </c>
      <c r="Y108" s="251"/>
      <c r="Z108" s="96"/>
      <c r="AA108" s="250"/>
      <c r="AB108" s="250"/>
      <c r="AC108" s="105"/>
      <c r="AD108" s="106">
        <f t="shared" si="13"/>
        <v>0</v>
      </c>
      <c r="AE108" s="1">
        <f>SUM(G108+M108+V108+AD108)</f>
        <v>48</v>
      </c>
    </row>
    <row r="109" spans="1:31" s="104" customFormat="1">
      <c r="A109" s="252"/>
      <c r="B109" s="248" t="s">
        <v>181</v>
      </c>
      <c r="C109" s="249"/>
      <c r="D109" s="106"/>
      <c r="E109" s="106"/>
      <c r="F109" s="106"/>
      <c r="G109" s="106">
        <f t="shared" si="10"/>
        <v>0</v>
      </c>
      <c r="H109" s="109"/>
      <c r="I109" s="106"/>
      <c r="J109" s="106"/>
      <c r="K109" s="106"/>
      <c r="L109" s="106"/>
      <c r="M109" s="106">
        <f t="shared" si="11"/>
        <v>0</v>
      </c>
      <c r="O109" s="106"/>
      <c r="P109" s="106"/>
      <c r="Q109" s="106"/>
      <c r="R109" s="106"/>
      <c r="S109" s="106"/>
      <c r="T109" s="106"/>
      <c r="U109" s="106"/>
      <c r="V109" s="106">
        <f t="shared" si="12"/>
        <v>0</v>
      </c>
      <c r="X109" s="96" t="s">
        <v>181</v>
      </c>
      <c r="Y109" s="96"/>
      <c r="Z109" s="96">
        <v>41</v>
      </c>
      <c r="AA109" s="105"/>
      <c r="AB109" s="105"/>
      <c r="AC109" s="105"/>
      <c r="AD109" s="106">
        <f t="shared" si="13"/>
        <v>41</v>
      </c>
    </row>
    <row r="110" spans="1:31">
      <c r="A110" s="252"/>
      <c r="B110" s="251" t="s">
        <v>64</v>
      </c>
      <c r="C110" s="251"/>
      <c r="D110" s="16">
        <v>0</v>
      </c>
      <c r="E110" s="16"/>
      <c r="F110" s="16"/>
      <c r="G110" s="106">
        <f t="shared" si="10"/>
        <v>0</v>
      </c>
      <c r="H110" s="23"/>
      <c r="I110" s="16"/>
      <c r="J110" s="106"/>
      <c r="K110" s="106"/>
      <c r="L110" s="16">
        <v>1</v>
      </c>
      <c r="M110" s="106">
        <f t="shared" si="11"/>
        <v>1</v>
      </c>
      <c r="O110" s="16"/>
      <c r="P110" s="16"/>
      <c r="Q110" s="16"/>
      <c r="R110" s="106"/>
      <c r="S110" s="16"/>
      <c r="T110" s="16"/>
      <c r="U110" s="16">
        <v>1</v>
      </c>
      <c r="V110" s="106">
        <f t="shared" si="12"/>
        <v>1</v>
      </c>
      <c r="X110" s="251" t="s">
        <v>64</v>
      </c>
      <c r="Y110" s="251"/>
      <c r="Z110" s="96"/>
      <c r="AA110" s="250"/>
      <c r="AB110" s="250"/>
      <c r="AC110" s="105"/>
      <c r="AD110" s="106">
        <f t="shared" si="13"/>
        <v>0</v>
      </c>
      <c r="AE110" s="1">
        <f t="shared" ref="AE110:AE120" si="14">SUM(G110+M110+V110+AD110)</f>
        <v>2</v>
      </c>
    </row>
    <row r="111" spans="1:31">
      <c r="A111" s="252"/>
      <c r="B111" s="251" t="s">
        <v>65</v>
      </c>
      <c r="C111" s="251"/>
      <c r="D111" s="16">
        <v>2</v>
      </c>
      <c r="E111" s="16">
        <v>2</v>
      </c>
      <c r="F111" s="16">
        <v>2</v>
      </c>
      <c r="G111" s="106">
        <f t="shared" si="10"/>
        <v>6</v>
      </c>
      <c r="H111" s="23"/>
      <c r="I111" s="16">
        <v>2</v>
      </c>
      <c r="J111" s="106">
        <v>2</v>
      </c>
      <c r="K111" s="106">
        <v>2</v>
      </c>
      <c r="L111" s="16">
        <v>1</v>
      </c>
      <c r="M111" s="106">
        <f t="shared" si="11"/>
        <v>7</v>
      </c>
      <c r="O111" s="16">
        <v>2</v>
      </c>
      <c r="P111" s="16">
        <v>2</v>
      </c>
      <c r="Q111" s="16">
        <v>2</v>
      </c>
      <c r="R111" s="106">
        <v>2</v>
      </c>
      <c r="S111" s="16">
        <v>2</v>
      </c>
      <c r="T111" s="16">
        <v>2</v>
      </c>
      <c r="U111" s="16">
        <v>2</v>
      </c>
      <c r="V111" s="106">
        <f t="shared" si="12"/>
        <v>14</v>
      </c>
      <c r="X111" s="251" t="s">
        <v>65</v>
      </c>
      <c r="Y111" s="251"/>
      <c r="Z111" s="96">
        <v>2</v>
      </c>
      <c r="AA111" s="250">
        <v>2</v>
      </c>
      <c r="AB111" s="250"/>
      <c r="AC111" s="105">
        <v>2</v>
      </c>
      <c r="AD111" s="106">
        <f t="shared" si="13"/>
        <v>6</v>
      </c>
      <c r="AE111" s="1">
        <f t="shared" si="14"/>
        <v>33</v>
      </c>
    </row>
    <row r="112" spans="1:31" s="1" customFormat="1">
      <c r="A112" s="252"/>
      <c r="B112" s="251" t="s">
        <v>98</v>
      </c>
      <c r="C112" s="251"/>
      <c r="D112" s="16"/>
      <c r="E112" s="16"/>
      <c r="F112" s="16"/>
      <c r="G112" s="106">
        <f t="shared" si="10"/>
        <v>0</v>
      </c>
      <c r="H112" s="23"/>
      <c r="I112" s="16"/>
      <c r="J112" s="106"/>
      <c r="K112" s="106"/>
      <c r="L112" s="16"/>
      <c r="M112" s="106">
        <f t="shared" si="11"/>
        <v>0</v>
      </c>
      <c r="O112" s="16"/>
      <c r="P112" s="16"/>
      <c r="Q112" s="16"/>
      <c r="R112" s="106"/>
      <c r="S112" s="16"/>
      <c r="T112" s="16"/>
      <c r="U112" s="16"/>
      <c r="V112" s="106">
        <f t="shared" si="12"/>
        <v>0</v>
      </c>
      <c r="X112" s="251" t="s">
        <v>98</v>
      </c>
      <c r="Y112" s="251"/>
      <c r="Z112" s="96"/>
      <c r="AA112" s="250">
        <v>1</v>
      </c>
      <c r="AB112" s="250"/>
      <c r="AC112" s="105"/>
      <c r="AD112" s="106">
        <f t="shared" si="13"/>
        <v>1</v>
      </c>
      <c r="AE112" s="1">
        <f t="shared" si="14"/>
        <v>1</v>
      </c>
    </row>
    <row r="113" spans="1:31">
      <c r="A113" s="252"/>
      <c r="B113" s="251" t="s">
        <v>77</v>
      </c>
      <c r="C113" s="251"/>
      <c r="D113" s="16">
        <v>2</v>
      </c>
      <c r="E113" s="16">
        <v>2</v>
      </c>
      <c r="F113" s="16">
        <v>2</v>
      </c>
      <c r="G113" s="106">
        <f t="shared" si="10"/>
        <v>6</v>
      </c>
      <c r="H113" s="23"/>
      <c r="I113" s="16">
        <v>2</v>
      </c>
      <c r="J113" s="106">
        <v>1</v>
      </c>
      <c r="K113" s="106">
        <v>1</v>
      </c>
      <c r="L113" s="16">
        <v>1</v>
      </c>
      <c r="M113" s="106">
        <f t="shared" si="11"/>
        <v>5</v>
      </c>
      <c r="O113" s="16">
        <v>0</v>
      </c>
      <c r="P113" s="16">
        <v>1</v>
      </c>
      <c r="Q113" s="16"/>
      <c r="R113" s="106">
        <v>2</v>
      </c>
      <c r="S113" s="16">
        <v>1</v>
      </c>
      <c r="T113" s="16">
        <v>1</v>
      </c>
      <c r="U113" s="16"/>
      <c r="V113" s="106">
        <f t="shared" si="12"/>
        <v>5</v>
      </c>
      <c r="X113" s="251" t="s">
        <v>77</v>
      </c>
      <c r="Y113" s="251"/>
      <c r="Z113" s="96"/>
      <c r="AA113" s="250"/>
      <c r="AB113" s="250"/>
      <c r="AC113" s="105">
        <v>1</v>
      </c>
      <c r="AD113" s="106">
        <f t="shared" si="13"/>
        <v>1</v>
      </c>
      <c r="AE113" s="1">
        <f t="shared" si="14"/>
        <v>17</v>
      </c>
    </row>
    <row r="114" spans="1:31" s="1" customFormat="1">
      <c r="A114" s="252"/>
      <c r="B114" s="251" t="s">
        <v>99</v>
      </c>
      <c r="C114" s="251"/>
      <c r="D114" s="16"/>
      <c r="E114" s="16"/>
      <c r="F114" s="16"/>
      <c r="G114" s="106">
        <f t="shared" si="10"/>
        <v>0</v>
      </c>
      <c r="H114" s="23"/>
      <c r="I114" s="16"/>
      <c r="J114" s="106"/>
      <c r="K114" s="106"/>
      <c r="L114" s="16"/>
      <c r="M114" s="106">
        <f t="shared" si="11"/>
        <v>0</v>
      </c>
      <c r="O114" s="16"/>
      <c r="P114" s="16">
        <v>1</v>
      </c>
      <c r="Q114" s="16"/>
      <c r="R114" s="106"/>
      <c r="S114" s="16"/>
      <c r="T114" s="16"/>
      <c r="U114" s="16"/>
      <c r="V114" s="106">
        <f t="shared" si="12"/>
        <v>1</v>
      </c>
      <c r="X114" s="251" t="s">
        <v>99</v>
      </c>
      <c r="Y114" s="251"/>
      <c r="Z114" s="131">
        <v>1</v>
      </c>
      <c r="AA114" s="245"/>
      <c r="AB114" s="246"/>
      <c r="AC114" s="97"/>
      <c r="AD114" s="106">
        <f t="shared" si="13"/>
        <v>1</v>
      </c>
      <c r="AE114" s="1">
        <f t="shared" si="14"/>
        <v>2</v>
      </c>
    </row>
    <row r="115" spans="1:31">
      <c r="A115" s="252"/>
      <c r="B115" s="251" t="s">
        <v>86</v>
      </c>
      <c r="C115" s="251"/>
      <c r="D115" s="16"/>
      <c r="E115" s="16"/>
      <c r="F115" s="16"/>
      <c r="G115" s="106">
        <f t="shared" si="10"/>
        <v>0</v>
      </c>
      <c r="H115" s="23"/>
      <c r="I115" s="16"/>
      <c r="J115" s="106"/>
      <c r="K115" s="106"/>
      <c r="L115" s="16">
        <v>1</v>
      </c>
      <c r="M115" s="106">
        <f t="shared" si="11"/>
        <v>1</v>
      </c>
      <c r="O115" s="16"/>
      <c r="P115" s="16"/>
      <c r="Q115" s="16"/>
      <c r="R115" s="106"/>
      <c r="S115" s="16"/>
      <c r="T115" s="16"/>
      <c r="U115" s="16"/>
      <c r="V115" s="106">
        <f t="shared" si="12"/>
        <v>0</v>
      </c>
      <c r="X115" s="251" t="s">
        <v>86</v>
      </c>
      <c r="Y115" s="251"/>
      <c r="Z115" s="96"/>
      <c r="AA115" s="250"/>
      <c r="AB115" s="250"/>
      <c r="AC115" s="105"/>
      <c r="AD115" s="106">
        <f t="shared" si="13"/>
        <v>0</v>
      </c>
      <c r="AE115" s="1">
        <f t="shared" si="14"/>
        <v>1</v>
      </c>
    </row>
    <row r="116" spans="1:31">
      <c r="A116" s="252"/>
      <c r="B116" s="251" t="s">
        <v>87</v>
      </c>
      <c r="C116" s="251"/>
      <c r="D116" s="16"/>
      <c r="E116" s="16"/>
      <c r="F116" s="16">
        <v>1</v>
      </c>
      <c r="G116" s="106">
        <f t="shared" si="10"/>
        <v>1</v>
      </c>
      <c r="H116" s="23"/>
      <c r="I116" s="16"/>
      <c r="J116" s="106"/>
      <c r="K116" s="106"/>
      <c r="L116" s="16"/>
      <c r="M116" s="106">
        <f t="shared" si="11"/>
        <v>0</v>
      </c>
      <c r="O116" s="16">
        <v>2</v>
      </c>
      <c r="P116" s="16"/>
      <c r="Q116" s="16"/>
      <c r="R116" s="106"/>
      <c r="S116" s="16"/>
      <c r="T116" s="16"/>
      <c r="U116" s="16"/>
      <c r="V116" s="106">
        <f t="shared" si="12"/>
        <v>2</v>
      </c>
      <c r="X116" s="251" t="s">
        <v>87</v>
      </c>
      <c r="Y116" s="251"/>
      <c r="Z116" s="96"/>
      <c r="AA116" s="250"/>
      <c r="AB116" s="250"/>
      <c r="AC116" s="105"/>
      <c r="AD116" s="106">
        <f t="shared" si="13"/>
        <v>0</v>
      </c>
      <c r="AE116" s="1">
        <f t="shared" si="14"/>
        <v>3</v>
      </c>
    </row>
    <row r="117" spans="1:31">
      <c r="A117" s="252"/>
      <c r="B117" s="251" t="s">
        <v>88</v>
      </c>
      <c r="C117" s="251"/>
      <c r="D117" s="16"/>
      <c r="E117" s="16"/>
      <c r="F117" s="16">
        <v>1</v>
      </c>
      <c r="G117" s="106">
        <f t="shared" si="10"/>
        <v>1</v>
      </c>
      <c r="H117" s="23"/>
      <c r="I117" s="16">
        <v>1</v>
      </c>
      <c r="J117" s="106"/>
      <c r="K117" s="106"/>
      <c r="L117" s="16"/>
      <c r="M117" s="106">
        <f t="shared" si="11"/>
        <v>1</v>
      </c>
      <c r="O117" s="16"/>
      <c r="P117" s="16"/>
      <c r="Q117" s="16"/>
      <c r="R117" s="106"/>
      <c r="S117" s="16"/>
      <c r="T117" s="16"/>
      <c r="U117" s="16"/>
      <c r="V117" s="106">
        <f t="shared" si="12"/>
        <v>0</v>
      </c>
      <c r="X117" s="251" t="s">
        <v>88</v>
      </c>
      <c r="Y117" s="251"/>
      <c r="Z117" s="96"/>
      <c r="AA117" s="250"/>
      <c r="AB117" s="250"/>
      <c r="AC117" s="105"/>
      <c r="AD117" s="106">
        <f t="shared" si="13"/>
        <v>0</v>
      </c>
      <c r="AE117" s="1">
        <f t="shared" si="14"/>
        <v>2</v>
      </c>
    </row>
    <row r="118" spans="1:31">
      <c r="A118" s="252"/>
      <c r="B118" s="251" t="s">
        <v>89</v>
      </c>
      <c r="C118" s="251"/>
      <c r="D118" s="16"/>
      <c r="E118" s="16"/>
      <c r="F118" s="16"/>
      <c r="G118" s="106">
        <f t="shared" si="10"/>
        <v>0</v>
      </c>
      <c r="H118" s="23"/>
      <c r="I118" s="16"/>
      <c r="J118" s="106">
        <v>1</v>
      </c>
      <c r="K118" s="106"/>
      <c r="L118" s="16"/>
      <c r="M118" s="106">
        <f t="shared" si="11"/>
        <v>1</v>
      </c>
      <c r="O118" s="16"/>
      <c r="P118" s="16"/>
      <c r="Q118" s="16"/>
      <c r="R118" s="106"/>
      <c r="S118" s="16"/>
      <c r="T118" s="16"/>
      <c r="U118" s="16"/>
      <c r="V118" s="106">
        <f t="shared" si="12"/>
        <v>0</v>
      </c>
      <c r="X118" s="251" t="s">
        <v>89</v>
      </c>
      <c r="Y118" s="251"/>
      <c r="Z118" s="96"/>
      <c r="AA118" s="250"/>
      <c r="AB118" s="250"/>
      <c r="AC118" s="105"/>
      <c r="AD118" s="106">
        <f t="shared" si="13"/>
        <v>0</v>
      </c>
      <c r="AE118" s="1">
        <f t="shared" si="14"/>
        <v>1</v>
      </c>
    </row>
    <row r="119" spans="1:31">
      <c r="A119" s="252"/>
      <c r="B119" s="251" t="s">
        <v>93</v>
      </c>
      <c r="C119" s="251"/>
      <c r="D119" s="16"/>
      <c r="E119" s="16"/>
      <c r="F119" s="16"/>
      <c r="G119" s="106">
        <f t="shared" si="10"/>
        <v>0</v>
      </c>
      <c r="H119" s="23"/>
      <c r="I119" s="16"/>
      <c r="J119" s="106"/>
      <c r="K119" s="106"/>
      <c r="L119" s="16"/>
      <c r="M119" s="106">
        <f t="shared" si="11"/>
        <v>0</v>
      </c>
      <c r="O119" s="16"/>
      <c r="P119" s="16"/>
      <c r="Q119" s="16">
        <v>1</v>
      </c>
      <c r="R119" s="106"/>
      <c r="S119" s="16"/>
      <c r="T119" s="16"/>
      <c r="U119" s="16">
        <v>1</v>
      </c>
      <c r="V119" s="106">
        <f t="shared" si="12"/>
        <v>2</v>
      </c>
      <c r="X119" s="251" t="s">
        <v>93</v>
      </c>
      <c r="Y119" s="251"/>
      <c r="Z119" s="96"/>
      <c r="AA119" s="250">
        <v>2</v>
      </c>
      <c r="AB119" s="250"/>
      <c r="AC119" s="105">
        <v>1</v>
      </c>
      <c r="AD119" s="106">
        <f t="shared" si="13"/>
        <v>3</v>
      </c>
      <c r="AE119" s="1">
        <f t="shared" si="14"/>
        <v>5</v>
      </c>
    </row>
    <row r="120" spans="1:31">
      <c r="A120" s="252"/>
      <c r="B120" s="251" t="s">
        <v>97</v>
      </c>
      <c r="C120" s="251"/>
      <c r="D120" s="16"/>
      <c r="E120" s="16"/>
      <c r="F120" s="16"/>
      <c r="G120" s="106">
        <f t="shared" si="10"/>
        <v>0</v>
      </c>
      <c r="H120" s="23"/>
      <c r="I120" s="16"/>
      <c r="J120" s="106"/>
      <c r="K120" s="106"/>
      <c r="L120" s="16"/>
      <c r="M120" s="106">
        <f t="shared" si="11"/>
        <v>0</v>
      </c>
      <c r="O120" s="16"/>
      <c r="P120" s="16">
        <v>1</v>
      </c>
      <c r="Q120" s="16"/>
      <c r="R120" s="106"/>
      <c r="S120" s="16">
        <v>1</v>
      </c>
      <c r="T120" s="16">
        <v>1</v>
      </c>
      <c r="U120" s="16"/>
      <c r="V120" s="106">
        <f t="shared" si="12"/>
        <v>3</v>
      </c>
      <c r="X120" s="251" t="s">
        <v>97</v>
      </c>
      <c r="Y120" s="251"/>
      <c r="Z120" s="96"/>
      <c r="AA120" s="250"/>
      <c r="AB120" s="250"/>
      <c r="AC120" s="105"/>
      <c r="AD120" s="106">
        <f t="shared" si="13"/>
        <v>0</v>
      </c>
      <c r="AE120" s="1">
        <f t="shared" si="14"/>
        <v>3</v>
      </c>
    </row>
    <row r="121" spans="1:31">
      <c r="A121" s="252"/>
      <c r="B121" s="251" t="s">
        <v>127</v>
      </c>
      <c r="C121" s="251"/>
      <c r="D121" s="16">
        <v>2</v>
      </c>
      <c r="E121" s="16">
        <v>2</v>
      </c>
      <c r="F121" s="16">
        <v>2</v>
      </c>
      <c r="G121" s="106">
        <f t="shared" si="10"/>
        <v>6</v>
      </c>
      <c r="I121" s="16">
        <v>1</v>
      </c>
      <c r="J121" s="106">
        <v>2</v>
      </c>
      <c r="K121" s="106"/>
      <c r="L121" s="16">
        <v>1</v>
      </c>
      <c r="M121" s="106">
        <f t="shared" si="11"/>
        <v>4</v>
      </c>
      <c r="O121" s="16">
        <v>4</v>
      </c>
      <c r="P121" s="16"/>
      <c r="Q121" s="16">
        <v>1</v>
      </c>
      <c r="R121" s="106"/>
      <c r="S121" s="16">
        <v>2</v>
      </c>
      <c r="T121" s="16">
        <v>2</v>
      </c>
      <c r="U121" s="16">
        <v>2</v>
      </c>
      <c r="V121" s="106">
        <f t="shared" si="12"/>
        <v>11</v>
      </c>
      <c r="W121" s="23"/>
      <c r="X121" s="251" t="s">
        <v>127</v>
      </c>
      <c r="Y121" s="251"/>
      <c r="Z121" s="96"/>
      <c r="AA121" s="250">
        <v>2</v>
      </c>
      <c r="AB121" s="250"/>
      <c r="AC121" s="105"/>
      <c r="AD121" s="106">
        <f t="shared" si="13"/>
        <v>2</v>
      </c>
    </row>
    <row r="122" spans="1:31">
      <c r="A122" s="252"/>
      <c r="B122" s="251" t="s">
        <v>128</v>
      </c>
      <c r="C122" s="251"/>
      <c r="D122" s="16">
        <v>26</v>
      </c>
      <c r="E122" s="16">
        <v>38</v>
      </c>
      <c r="F122" s="16">
        <v>38</v>
      </c>
      <c r="G122" s="106">
        <f t="shared" si="10"/>
        <v>102</v>
      </c>
      <c r="I122" s="16">
        <v>58</v>
      </c>
      <c r="J122" s="106">
        <f>26+17+10</f>
        <v>53</v>
      </c>
      <c r="K122" s="106"/>
      <c r="L122" s="16">
        <f>18+26</f>
        <v>44</v>
      </c>
      <c r="M122" s="106">
        <f t="shared" si="11"/>
        <v>155</v>
      </c>
      <c r="O122" s="16">
        <f>45+80+47</f>
        <v>172</v>
      </c>
      <c r="P122" s="16"/>
      <c r="Q122" s="16">
        <v>33</v>
      </c>
      <c r="R122" s="106"/>
      <c r="S122" s="16">
        <f>48+5</f>
        <v>53</v>
      </c>
      <c r="T122" s="16">
        <f>45+7</f>
        <v>52</v>
      </c>
      <c r="U122" s="16">
        <v>43</v>
      </c>
      <c r="V122" s="106">
        <f t="shared" si="12"/>
        <v>353</v>
      </c>
      <c r="X122" s="251" t="s">
        <v>128</v>
      </c>
      <c r="Y122" s="251"/>
      <c r="Z122" s="96"/>
      <c r="AA122" s="250">
        <f>40+14</f>
        <v>54</v>
      </c>
      <c r="AB122" s="250"/>
      <c r="AC122" s="105"/>
      <c r="AD122" s="106">
        <f t="shared" si="13"/>
        <v>54</v>
      </c>
    </row>
    <row r="123" spans="1:31" s="1" customFormat="1">
      <c r="A123" s="94"/>
      <c r="B123" s="95"/>
      <c r="C123" s="95"/>
      <c r="D123" s="23"/>
      <c r="E123" s="23"/>
      <c r="F123" s="23"/>
      <c r="G123" s="23"/>
      <c r="I123" s="23"/>
      <c r="J123" s="23"/>
      <c r="K123" s="23"/>
      <c r="L123" s="23"/>
      <c r="N123" s="23"/>
      <c r="O123" s="23"/>
      <c r="P123" s="23"/>
      <c r="Q123" s="23"/>
      <c r="R123" s="23"/>
      <c r="S123" s="23"/>
      <c r="T123" s="23"/>
      <c r="V123" s="95"/>
      <c r="W123" s="95"/>
      <c r="X123" s="82"/>
      <c r="Y123" s="82"/>
      <c r="Z123" s="23"/>
    </row>
    <row r="124" spans="1:31" s="1" customFormat="1">
      <c r="A124" s="94"/>
      <c r="B124" s="95"/>
      <c r="C124" s="95"/>
      <c r="D124" s="23"/>
      <c r="E124" s="23"/>
      <c r="F124" s="23"/>
      <c r="G124" s="23"/>
      <c r="I124" s="23"/>
      <c r="J124" s="23"/>
      <c r="K124" s="23"/>
      <c r="L124" s="23"/>
      <c r="N124" s="23"/>
      <c r="O124" s="23"/>
      <c r="P124" s="23"/>
      <c r="Q124" s="23"/>
      <c r="R124" s="23"/>
      <c r="S124" s="23"/>
      <c r="T124" s="23"/>
      <c r="V124" s="95"/>
      <c r="W124" s="95"/>
      <c r="X124" s="82"/>
      <c r="Y124" s="82"/>
      <c r="Z124" s="23"/>
    </row>
    <row r="126" spans="1:31">
      <c r="E126" s="250" t="s">
        <v>18</v>
      </c>
      <c r="F126" s="250"/>
      <c r="G126" s="250" t="s">
        <v>22</v>
      </c>
      <c r="H126" s="250"/>
      <c r="I126" s="250" t="s">
        <v>28</v>
      </c>
      <c r="J126" s="250"/>
      <c r="K126" s="250" t="s">
        <v>72</v>
      </c>
      <c r="L126" s="250"/>
      <c r="M126" s="250" t="s">
        <v>73</v>
      </c>
      <c r="N126" s="250"/>
      <c r="O126" s="250" t="s">
        <v>74</v>
      </c>
      <c r="P126" s="250"/>
    </row>
    <row r="127" spans="1:31">
      <c r="A127" s="252" t="s">
        <v>101</v>
      </c>
      <c r="B127" s="254" t="s">
        <v>105</v>
      </c>
      <c r="C127" s="246" t="s">
        <v>101</v>
      </c>
      <c r="D127" s="250"/>
      <c r="E127" s="250">
        <f>3+170+264+13+13+16+4+21+10+9+34+30+40+17+14+62+67+54+48</f>
        <v>889</v>
      </c>
      <c r="F127" s="250"/>
      <c r="G127" s="250">
        <f>96+40+40+770+53+13+162+61+56+56+55+55+56+55+52+55+55</f>
        <v>1730</v>
      </c>
      <c r="H127" s="250"/>
      <c r="I127" s="250">
        <f>20+582+55+5+60+225+48+48+95+40+5+40+427+40+10+80+442+55+56+271+18+3+18+294</f>
        <v>2937</v>
      </c>
      <c r="J127" s="250"/>
      <c r="K127" s="250">
        <f>55+56+56+667</f>
        <v>834</v>
      </c>
      <c r="L127" s="250"/>
      <c r="M127" s="250">
        <v>0</v>
      </c>
      <c r="N127" s="250"/>
      <c r="O127" s="250">
        <v>0</v>
      </c>
      <c r="P127" s="250"/>
    </row>
    <row r="128" spans="1:31">
      <c r="A128" s="252"/>
      <c r="B128" s="254"/>
      <c r="C128" s="246" t="s">
        <v>103</v>
      </c>
      <c r="D128" s="250"/>
      <c r="E128" s="250">
        <f>56+83+80+25+87+87+84+77</f>
        <v>579</v>
      </c>
      <c r="F128" s="250"/>
      <c r="G128" s="250">
        <f>83*8</f>
        <v>664</v>
      </c>
      <c r="H128" s="250"/>
      <c r="I128" s="250">
        <f>83+83+78+78+69+69+69+94+83+83+41+41</f>
        <v>871</v>
      </c>
      <c r="J128" s="250"/>
      <c r="K128" s="250">
        <f>83*2</f>
        <v>166</v>
      </c>
      <c r="L128" s="250"/>
      <c r="M128" s="250">
        <v>0</v>
      </c>
      <c r="N128" s="250"/>
      <c r="O128" s="250">
        <v>0</v>
      </c>
      <c r="P128" s="250"/>
    </row>
    <row r="129" spans="1:16">
      <c r="A129" s="252"/>
      <c r="B129" s="254"/>
      <c r="C129" s="246" t="s">
        <v>102</v>
      </c>
      <c r="D129" s="250"/>
      <c r="E129" s="250">
        <v>741</v>
      </c>
      <c r="F129" s="250"/>
      <c r="G129" s="250">
        <v>864</v>
      </c>
      <c r="H129" s="250"/>
      <c r="I129" s="250">
        <f>229+176+151+240+228+117</f>
        <v>1141</v>
      </c>
      <c r="J129" s="250"/>
      <c r="K129" s="250">
        <v>206</v>
      </c>
      <c r="L129" s="250"/>
      <c r="M129" s="250">
        <v>0</v>
      </c>
      <c r="N129" s="250"/>
      <c r="O129" s="250">
        <v>0</v>
      </c>
      <c r="P129" s="250"/>
    </row>
    <row r="130" spans="1:16">
      <c r="A130" s="252"/>
    </row>
    <row r="131" spans="1:16">
      <c r="A131" s="252"/>
    </row>
    <row r="132" spans="1:16">
      <c r="A132" s="252"/>
      <c r="B132" s="85"/>
      <c r="C132" s="1"/>
      <c r="D132" s="1"/>
      <c r="E132" s="250" t="s">
        <v>18</v>
      </c>
      <c r="F132" s="250"/>
      <c r="G132" s="250" t="s">
        <v>22</v>
      </c>
      <c r="H132" s="250"/>
      <c r="I132" s="250" t="s">
        <v>28</v>
      </c>
      <c r="J132" s="250"/>
      <c r="K132" s="250" t="s">
        <v>72</v>
      </c>
      <c r="L132" s="250"/>
      <c r="M132" s="250" t="s">
        <v>73</v>
      </c>
      <c r="N132" s="250"/>
      <c r="O132" s="250" t="s">
        <v>74</v>
      </c>
      <c r="P132" s="250"/>
    </row>
    <row r="133" spans="1:16">
      <c r="A133" s="252"/>
      <c r="B133" s="254" t="s">
        <v>104</v>
      </c>
      <c r="C133" s="246" t="s">
        <v>101</v>
      </c>
      <c r="D133" s="250"/>
      <c r="E133" s="250">
        <f>390+19+25+171+70</f>
        <v>675</v>
      </c>
      <c r="F133" s="250"/>
      <c r="G133" s="250">
        <f>55+56+22+34+22+34+48+48+32+32+24+65+56+40+17+18+46+48+18+26+30+46+18+18+50+45+20+40+22+30+34+24+32+26+21+22+96+131+69+119+10+10+114+12+34+53+2+47+12</f>
        <v>1928</v>
      </c>
      <c r="H133" s="250"/>
      <c r="I133" s="250">
        <f>189+19+153+14+28+24+5+211+38+4+7+25+7+55+5+60+213+31+31+167+31+28+968+55+56+246+57+58+267</f>
        <v>3052</v>
      </c>
      <c r="J133" s="250"/>
      <c r="K133" s="250">
        <f>322+60+60+245+64+64+40</f>
        <v>855</v>
      </c>
      <c r="L133" s="250"/>
      <c r="M133" s="250">
        <v>0</v>
      </c>
      <c r="N133" s="250"/>
      <c r="O133" s="250">
        <v>0</v>
      </c>
      <c r="P133" s="250"/>
    </row>
    <row r="134" spans="1:16">
      <c r="A134" s="252"/>
      <c r="B134" s="254"/>
      <c r="C134" s="246" t="s">
        <v>103</v>
      </c>
      <c r="D134" s="250"/>
      <c r="E134" s="250">
        <f>62.5+70</f>
        <v>132.5</v>
      </c>
      <c r="F134" s="250"/>
      <c r="G134" s="250">
        <f>83+83+83+83+78+78+60+60+52+52+83+83+83+89+89+89+90+89+83+83+90+89+54</f>
        <v>1806</v>
      </c>
      <c r="H134" s="250"/>
      <c r="I134" s="250">
        <f>89+69+41+83+83+40+40+52+83+83+89+89</f>
        <v>841</v>
      </c>
      <c r="J134" s="250"/>
      <c r="K134" s="250">
        <f>89*4</f>
        <v>356</v>
      </c>
      <c r="L134" s="250"/>
      <c r="M134" s="250">
        <v>0</v>
      </c>
      <c r="N134" s="250"/>
      <c r="O134" s="250">
        <v>0</v>
      </c>
      <c r="P134" s="250"/>
    </row>
    <row r="135" spans="1:16">
      <c r="A135" s="252"/>
      <c r="B135" s="254"/>
      <c r="C135" s="246" t="s">
        <v>102</v>
      </c>
      <c r="D135" s="250"/>
      <c r="E135" s="250">
        <v>610</v>
      </c>
      <c r="F135" s="250"/>
      <c r="G135" s="250">
        <f>228+223+192+134+89+227+266+265+245+210+230+98</f>
        <v>2407</v>
      </c>
      <c r="H135" s="250"/>
      <c r="I135" s="250">
        <f>175+303+230+118+121+228</f>
        <v>1175</v>
      </c>
      <c r="J135" s="250"/>
      <c r="K135" s="250">
        <f>232*2</f>
        <v>464</v>
      </c>
      <c r="L135" s="250"/>
      <c r="M135" s="250">
        <v>0</v>
      </c>
      <c r="N135" s="250"/>
      <c r="O135" s="250">
        <v>0</v>
      </c>
      <c r="P135" s="250"/>
    </row>
    <row r="139" spans="1:16">
      <c r="E139" s="250" t="s">
        <v>18</v>
      </c>
      <c r="F139" s="250"/>
      <c r="G139" s="250" t="s">
        <v>22</v>
      </c>
      <c r="H139" s="250"/>
      <c r="I139" s="250" t="s">
        <v>28</v>
      </c>
      <c r="J139" s="250"/>
      <c r="K139" s="250" t="s">
        <v>72</v>
      </c>
      <c r="L139" s="250"/>
      <c r="M139" s="250" t="s">
        <v>73</v>
      </c>
      <c r="N139" s="250"/>
      <c r="O139" s="250" t="s">
        <v>74</v>
      </c>
      <c r="P139" s="250"/>
    </row>
    <row r="140" spans="1:16">
      <c r="A140" s="252" t="s">
        <v>108</v>
      </c>
      <c r="B140" s="252" t="s">
        <v>110</v>
      </c>
      <c r="C140" s="246" t="s">
        <v>108</v>
      </c>
      <c r="D140" s="250"/>
      <c r="E140" s="250"/>
      <c r="F140" s="250"/>
      <c r="G140" s="250"/>
      <c r="H140" s="250"/>
      <c r="I140" s="250"/>
      <c r="J140" s="250"/>
      <c r="K140" s="250"/>
      <c r="L140" s="250"/>
      <c r="M140" s="250"/>
      <c r="N140" s="250"/>
      <c r="O140" s="250"/>
      <c r="P140" s="250"/>
    </row>
    <row r="141" spans="1:16">
      <c r="A141" s="252"/>
      <c r="B141" s="252"/>
      <c r="C141" s="253">
        <v>0.4</v>
      </c>
      <c r="D141" s="250"/>
      <c r="E141" s="245"/>
      <c r="F141" s="246"/>
      <c r="G141" s="245"/>
      <c r="H141" s="246"/>
      <c r="I141" s="245"/>
      <c r="J141" s="246"/>
      <c r="K141" s="245"/>
      <c r="L141" s="246"/>
      <c r="M141" s="245"/>
      <c r="N141" s="246"/>
      <c r="O141" s="245"/>
      <c r="P141" s="246"/>
    </row>
    <row r="142" spans="1:16">
      <c r="A142" s="252"/>
      <c r="B142" s="252"/>
      <c r="C142" s="246" t="s">
        <v>109</v>
      </c>
      <c r="D142" s="250"/>
      <c r="E142" s="250"/>
      <c r="F142" s="250"/>
      <c r="G142" s="250"/>
      <c r="H142" s="250"/>
      <c r="I142" s="250"/>
      <c r="J142" s="250"/>
      <c r="K142" s="250"/>
      <c r="L142" s="250"/>
      <c r="M142" s="250"/>
      <c r="N142" s="250"/>
      <c r="O142" s="250"/>
      <c r="P142" s="250"/>
    </row>
    <row r="143" spans="1:16">
      <c r="A143" s="252"/>
      <c r="C143" s="79"/>
      <c r="D143" s="79"/>
      <c r="E143" s="82"/>
      <c r="F143" s="82"/>
      <c r="G143" s="82"/>
      <c r="H143" s="82"/>
      <c r="I143" s="82"/>
      <c r="J143" s="82"/>
      <c r="K143" s="82"/>
      <c r="L143" s="82"/>
      <c r="M143" s="82"/>
      <c r="N143" s="82"/>
      <c r="O143" s="82"/>
      <c r="P143" s="82"/>
    </row>
    <row r="144" spans="1:16">
      <c r="A144" s="252"/>
      <c r="B144" s="90"/>
      <c r="E144" s="250" t="s">
        <v>18</v>
      </c>
      <c r="F144" s="250"/>
      <c r="G144" s="250" t="s">
        <v>22</v>
      </c>
      <c r="H144" s="250"/>
      <c r="I144" s="250" t="s">
        <v>28</v>
      </c>
      <c r="J144" s="250"/>
      <c r="K144" s="250" t="s">
        <v>72</v>
      </c>
      <c r="L144" s="250"/>
      <c r="M144" s="250" t="s">
        <v>73</v>
      </c>
      <c r="N144" s="250"/>
      <c r="O144" s="250" t="s">
        <v>74</v>
      </c>
      <c r="P144" s="250"/>
    </row>
    <row r="145" spans="1:16">
      <c r="A145" s="252"/>
      <c r="B145" s="252" t="s">
        <v>104</v>
      </c>
      <c r="C145" s="246" t="s">
        <v>108</v>
      </c>
      <c r="D145" s="250"/>
      <c r="E145" s="250"/>
      <c r="F145" s="250"/>
      <c r="G145" s="250">
        <f>94.5+94.5+90.5+93+95.5+86.6+92+94+1426.5+1517.5</f>
        <v>3684.6</v>
      </c>
      <c r="H145" s="250"/>
      <c r="I145" s="250">
        <f>3146+207+98.5+280+77</f>
        <v>3808.5</v>
      </c>
      <c r="J145" s="250"/>
      <c r="K145" s="250"/>
      <c r="L145" s="250"/>
      <c r="M145" s="250"/>
      <c r="N145" s="250"/>
      <c r="O145" s="250"/>
      <c r="P145" s="250"/>
    </row>
    <row r="146" spans="1:16">
      <c r="A146" s="252"/>
      <c r="B146" s="252"/>
      <c r="C146" s="253">
        <v>0.4</v>
      </c>
      <c r="D146" s="250"/>
      <c r="E146" s="245"/>
      <c r="F146" s="246"/>
      <c r="G146" s="245">
        <f>(1443+742+1320+591)*0.4</f>
        <v>1638.4</v>
      </c>
      <c r="H146" s="246"/>
      <c r="I146" s="245">
        <f>1032*0.4</f>
        <v>412.8</v>
      </c>
      <c r="J146" s="246"/>
      <c r="K146" s="245"/>
      <c r="L146" s="246"/>
      <c r="M146" s="245"/>
      <c r="N146" s="246"/>
      <c r="O146" s="245"/>
      <c r="P146" s="246"/>
    </row>
    <row r="147" spans="1:16">
      <c r="A147" s="252"/>
      <c r="B147" s="252"/>
      <c r="C147" s="246" t="s">
        <v>109</v>
      </c>
      <c r="D147" s="250"/>
      <c r="E147" s="250"/>
      <c r="F147" s="250"/>
      <c r="G147" s="250">
        <f>10*5*10</f>
        <v>500</v>
      </c>
      <c r="H147" s="250"/>
      <c r="I147" s="250">
        <f>(5*2*2+2*7*2+6*6*2)</f>
        <v>120</v>
      </c>
      <c r="J147" s="250"/>
      <c r="K147" s="250"/>
      <c r="L147" s="250"/>
      <c r="M147" s="250"/>
      <c r="N147" s="250"/>
      <c r="O147" s="250"/>
      <c r="P147" s="250"/>
    </row>
    <row r="151" spans="1:16">
      <c r="A151" s="16" t="s">
        <v>111</v>
      </c>
      <c r="B151" s="83" t="s">
        <v>39</v>
      </c>
      <c r="C151" s="81">
        <f>51+156+49+201+144+152+169+61+55+24+47</f>
        <v>1109</v>
      </c>
    </row>
    <row r="153" spans="1:16">
      <c r="A153" s="252" t="s">
        <v>112</v>
      </c>
      <c r="B153" s="245" t="s">
        <v>113</v>
      </c>
      <c r="C153" s="246"/>
      <c r="D153" s="16">
        <v>2</v>
      </c>
    </row>
    <row r="154" spans="1:16">
      <c r="A154" s="252"/>
      <c r="B154" s="245" t="s">
        <v>114</v>
      </c>
      <c r="C154" s="246"/>
      <c r="D154" s="16">
        <v>2</v>
      </c>
    </row>
    <row r="155" spans="1:16">
      <c r="A155" s="252"/>
      <c r="B155" s="245" t="s">
        <v>115</v>
      </c>
      <c r="C155" s="246"/>
      <c r="D155" s="16">
        <v>18</v>
      </c>
    </row>
    <row r="156" spans="1:16">
      <c r="A156" s="252"/>
      <c r="B156" s="245" t="s">
        <v>77</v>
      </c>
      <c r="C156" s="246"/>
      <c r="D156" s="16">
        <v>58</v>
      </c>
    </row>
    <row r="157" spans="1:16">
      <c r="A157" s="252"/>
      <c r="B157" s="245" t="s">
        <v>116</v>
      </c>
      <c r="C157" s="246"/>
      <c r="D157" s="16">
        <v>2</v>
      </c>
    </row>
    <row r="162" spans="1:30">
      <c r="D162" s="250" t="s">
        <v>18</v>
      </c>
      <c r="E162" s="250"/>
      <c r="F162" s="250" t="s">
        <v>22</v>
      </c>
      <c r="G162" s="250"/>
      <c r="H162" s="250" t="s">
        <v>28</v>
      </c>
      <c r="I162" s="250"/>
      <c r="J162" s="250" t="s">
        <v>72</v>
      </c>
      <c r="K162" s="250"/>
      <c r="L162" s="250" t="s">
        <v>73</v>
      </c>
      <c r="M162" s="250"/>
      <c r="N162" s="250" t="s">
        <v>74</v>
      </c>
      <c r="O162" s="250"/>
    </row>
    <row r="163" spans="1:30">
      <c r="A163" s="252" t="s">
        <v>122</v>
      </c>
      <c r="B163" s="250" t="s">
        <v>124</v>
      </c>
      <c r="C163" s="250"/>
      <c r="D163" s="250">
        <v>3000</v>
      </c>
      <c r="E163" s="250"/>
      <c r="F163" s="250">
        <v>3001</v>
      </c>
      <c r="G163" s="250"/>
      <c r="H163" s="250">
        <v>3002</v>
      </c>
      <c r="I163" s="250"/>
      <c r="J163" s="250">
        <v>3003</v>
      </c>
      <c r="K163" s="250"/>
      <c r="L163" s="250">
        <v>3004</v>
      </c>
      <c r="M163" s="250"/>
      <c r="N163" s="250">
        <v>3005</v>
      </c>
      <c r="O163" s="250"/>
    </row>
    <row r="164" spans="1:30">
      <c r="A164" s="252"/>
      <c r="B164" s="250" t="s">
        <v>123</v>
      </c>
      <c r="C164" s="250"/>
      <c r="D164" s="250">
        <f>583*2+(3000-1467)*2</f>
        <v>4232</v>
      </c>
      <c r="E164" s="250"/>
      <c r="F164" s="250">
        <f>60*2</f>
        <v>120</v>
      </c>
      <c r="G164" s="250"/>
      <c r="H164" s="250">
        <f>(12000-9850)*2</f>
        <v>4300</v>
      </c>
      <c r="I164" s="250"/>
      <c r="J164" s="250">
        <f>(16364-12000)*2</f>
        <v>8728</v>
      </c>
      <c r="K164" s="250"/>
      <c r="L164" s="250">
        <f>3000*2</f>
        <v>6000</v>
      </c>
      <c r="M164" s="250"/>
      <c r="N164" s="250">
        <f>(16364-15000)*2</f>
        <v>2728</v>
      </c>
      <c r="O164" s="250"/>
    </row>
    <row r="165" spans="1:30">
      <c r="A165" s="252"/>
      <c r="B165" s="250" t="s">
        <v>125</v>
      </c>
      <c r="C165" s="250"/>
      <c r="D165" s="245">
        <f>2*D163+D164</f>
        <v>10232</v>
      </c>
      <c r="E165" s="246"/>
      <c r="F165" s="245">
        <f t="shared" ref="F165" si="15">SUM(F163:G164)</f>
        <v>3121</v>
      </c>
      <c r="G165" s="246"/>
      <c r="H165" s="245">
        <f t="shared" ref="H165" si="16">SUM(H163:I164)</f>
        <v>7302</v>
      </c>
      <c r="I165" s="246"/>
      <c r="J165" s="245">
        <f t="shared" ref="J165" si="17">SUM(J163:K164)</f>
        <v>11731</v>
      </c>
      <c r="K165" s="246"/>
      <c r="L165" s="245">
        <f t="shared" ref="L165" si="18">SUM(L163:M164)</f>
        <v>9004</v>
      </c>
      <c r="M165" s="246"/>
      <c r="N165" s="245">
        <f t="shared" ref="N165" si="19">SUM(N163:O164)</f>
        <v>5733</v>
      </c>
      <c r="O165" s="246"/>
    </row>
    <row r="168" spans="1:30">
      <c r="A168" s="245" t="s">
        <v>49</v>
      </c>
      <c r="B168" s="246"/>
      <c r="C168" s="245" t="s">
        <v>49</v>
      </c>
      <c r="D168" s="247"/>
      <c r="E168" s="247"/>
      <c r="F168" s="247"/>
      <c r="G168" s="247"/>
      <c r="H168" s="247"/>
      <c r="I168" s="247"/>
      <c r="J168" s="247"/>
      <c r="K168" s="247"/>
      <c r="L168" s="247"/>
      <c r="M168" s="247"/>
      <c r="N168" s="247"/>
      <c r="O168" s="247"/>
      <c r="P168" s="247"/>
      <c r="Q168" s="247"/>
      <c r="R168" s="247"/>
      <c r="S168" s="247"/>
      <c r="T168" s="247"/>
      <c r="U168" s="247"/>
      <c r="V168" s="247"/>
      <c r="W168" s="247"/>
      <c r="X168" s="246"/>
      <c r="Y168" s="104"/>
      <c r="Z168" s="104"/>
      <c r="AA168" s="104"/>
      <c r="AB168" s="104"/>
      <c r="AC168" s="104"/>
    </row>
    <row r="169" spans="1:30">
      <c r="B169" s="104"/>
      <c r="C169" s="260" t="s">
        <v>130</v>
      </c>
      <c r="D169" s="260"/>
      <c r="E169" s="260"/>
      <c r="F169" s="104"/>
      <c r="G169" s="104"/>
      <c r="H169" s="262" t="s">
        <v>131</v>
      </c>
      <c r="I169" s="262"/>
      <c r="J169" s="262"/>
      <c r="K169" s="262"/>
      <c r="L169" s="262"/>
      <c r="M169" s="104"/>
      <c r="N169" s="104"/>
      <c r="O169" s="245" t="s">
        <v>132</v>
      </c>
      <c r="P169" s="247"/>
      <c r="Q169" s="247"/>
      <c r="R169" s="247"/>
      <c r="S169" s="247"/>
      <c r="T169" s="104"/>
      <c r="U169" s="261" t="s">
        <v>133</v>
      </c>
      <c r="V169" s="259"/>
      <c r="W169" s="259"/>
      <c r="X169" s="259"/>
      <c r="Z169" s="104" t="s">
        <v>134</v>
      </c>
      <c r="AA169" s="104"/>
      <c r="AB169" s="104"/>
      <c r="AC169" s="104"/>
    </row>
    <row r="170" spans="1:30">
      <c r="B170" s="104"/>
      <c r="C170" s="250" t="s">
        <v>135</v>
      </c>
      <c r="D170" s="250"/>
      <c r="E170" s="106" t="s">
        <v>136</v>
      </c>
      <c r="F170" s="125" t="s">
        <v>137</v>
      </c>
      <c r="G170" s="104"/>
      <c r="H170" s="250" t="s">
        <v>135</v>
      </c>
      <c r="I170" s="250"/>
      <c r="J170" s="106" t="s">
        <v>136</v>
      </c>
      <c r="K170" s="110" t="s">
        <v>138</v>
      </c>
      <c r="L170" s="106" t="s">
        <v>139</v>
      </c>
      <c r="M170" s="104"/>
      <c r="N170" s="104"/>
      <c r="O170" s="105" t="s">
        <v>135</v>
      </c>
      <c r="P170" s="105"/>
      <c r="Q170" s="106" t="s">
        <v>136</v>
      </c>
      <c r="R170" s="104" t="s">
        <v>138</v>
      </c>
      <c r="S170" s="106" t="s">
        <v>139</v>
      </c>
      <c r="T170" s="104"/>
      <c r="U170" s="105" t="s">
        <v>135</v>
      </c>
      <c r="V170" s="105"/>
      <c r="W170" s="106" t="s">
        <v>170</v>
      </c>
      <c r="X170" t="s">
        <v>168</v>
      </c>
      <c r="Z170" s="114" t="s">
        <v>140</v>
      </c>
      <c r="AA170" s="114">
        <f>C182+H207+O181+U179</f>
        <v>417499</v>
      </c>
      <c r="AB170" s="114" t="s">
        <v>141</v>
      </c>
      <c r="AC170" s="114">
        <f>ROUND(AA170/9,0)</f>
        <v>46389</v>
      </c>
      <c r="AD170" s="114" t="s">
        <v>37</v>
      </c>
    </row>
    <row r="171" spans="1:30">
      <c r="B171" s="104"/>
      <c r="C171" s="106">
        <v>19385</v>
      </c>
      <c r="D171" s="106" t="s">
        <v>141</v>
      </c>
      <c r="E171" s="106" t="s">
        <v>142</v>
      </c>
      <c r="F171" s="125">
        <v>1</v>
      </c>
      <c r="G171" s="104"/>
      <c r="H171" s="106">
        <v>2893</v>
      </c>
      <c r="I171" s="106" t="s">
        <v>141</v>
      </c>
      <c r="J171" s="106" t="s">
        <v>143</v>
      </c>
      <c r="K171" s="125">
        <v>1</v>
      </c>
      <c r="L171" s="106"/>
      <c r="M171" s="104"/>
      <c r="N171" s="104"/>
      <c r="O171" s="106">
        <v>21978</v>
      </c>
      <c r="P171" s="106" t="s">
        <v>141</v>
      </c>
      <c r="Q171" s="106" t="s">
        <v>144</v>
      </c>
      <c r="R171" s="104">
        <v>3</v>
      </c>
      <c r="S171" s="106"/>
      <c r="T171" s="104"/>
      <c r="U171" s="106">
        <v>137744</v>
      </c>
      <c r="V171" s="106" t="s">
        <v>141</v>
      </c>
      <c r="W171" s="106" t="s">
        <v>145</v>
      </c>
      <c r="X171">
        <v>1</v>
      </c>
      <c r="Z171" s="112" t="s">
        <v>151</v>
      </c>
      <c r="AA171" s="112">
        <f>O182</f>
        <v>82247</v>
      </c>
      <c r="AB171" s="112" t="s">
        <v>141</v>
      </c>
      <c r="AC171" s="128">
        <f t="shared" ref="AC171:AC172" si="20">ROUND(AA171/9,0)</f>
        <v>9139</v>
      </c>
      <c r="AD171" s="112" t="s">
        <v>37</v>
      </c>
    </row>
    <row r="172" spans="1:30">
      <c r="B172" s="104"/>
      <c r="C172" s="106">
        <f>(1467.83-583.33)*26</f>
        <v>22996.999999999996</v>
      </c>
      <c r="D172" s="106" t="s">
        <v>141</v>
      </c>
      <c r="E172" s="106" t="s">
        <v>147</v>
      </c>
      <c r="F172" s="125">
        <v>1</v>
      </c>
      <c r="G172" s="104"/>
      <c r="H172" s="106">
        <v>29112</v>
      </c>
      <c r="I172" s="106" t="s">
        <v>141</v>
      </c>
      <c r="J172" s="106" t="s">
        <v>148</v>
      </c>
      <c r="K172" s="125">
        <v>3</v>
      </c>
      <c r="L172" s="106"/>
      <c r="M172" s="104"/>
      <c r="N172" s="104"/>
      <c r="O172" s="106">
        <v>1057</v>
      </c>
      <c r="P172" s="106" t="s">
        <v>141</v>
      </c>
      <c r="Q172" s="106" t="s">
        <v>149</v>
      </c>
      <c r="R172" s="104">
        <v>3</v>
      </c>
      <c r="S172" s="106"/>
      <c r="T172" s="104"/>
      <c r="U172" s="106">
        <v>645</v>
      </c>
      <c r="V172" s="106" t="s">
        <v>141</v>
      </c>
      <c r="W172" s="106" t="s">
        <v>150</v>
      </c>
      <c r="X172">
        <v>1</v>
      </c>
      <c r="Z172" s="111" t="s">
        <v>146</v>
      </c>
      <c r="AA172" s="111">
        <f>H208</f>
        <v>47355</v>
      </c>
      <c r="AB172" s="111" t="s">
        <v>141</v>
      </c>
      <c r="AC172" s="127">
        <f t="shared" si="20"/>
        <v>5262</v>
      </c>
      <c r="AD172" s="117" t="s">
        <v>37</v>
      </c>
    </row>
    <row r="173" spans="1:30">
      <c r="B173" s="104"/>
      <c r="C173" s="106">
        <v>654</v>
      </c>
      <c r="D173" s="106" t="s">
        <v>141</v>
      </c>
      <c r="E173" s="106" t="s">
        <v>152</v>
      </c>
      <c r="F173" s="125">
        <v>1</v>
      </c>
      <c r="G173" s="104"/>
      <c r="H173" s="106">
        <v>1240</v>
      </c>
      <c r="I173" s="106" t="s">
        <v>141</v>
      </c>
      <c r="J173" s="106" t="s">
        <v>149</v>
      </c>
      <c r="K173" s="125">
        <v>3</v>
      </c>
      <c r="L173" s="106"/>
      <c r="M173" s="104"/>
      <c r="N173" s="104"/>
      <c r="O173" s="106">
        <v>1206</v>
      </c>
      <c r="P173" s="106" t="s">
        <v>141</v>
      </c>
      <c r="Q173" s="106" t="s">
        <v>149</v>
      </c>
      <c r="R173" s="104">
        <v>3</v>
      </c>
      <c r="S173" s="106"/>
      <c r="T173" s="104"/>
      <c r="U173" s="106">
        <v>1720</v>
      </c>
      <c r="V173" s="106" t="s">
        <v>141</v>
      </c>
      <c r="W173" s="106" t="s">
        <v>150</v>
      </c>
      <c r="X173">
        <v>1</v>
      </c>
    </row>
    <row r="174" spans="1:30">
      <c r="B174" s="104"/>
      <c r="C174" s="106">
        <v>270</v>
      </c>
      <c r="D174" s="106" t="s">
        <v>141</v>
      </c>
      <c r="E174" s="106" t="s">
        <v>152</v>
      </c>
      <c r="F174" s="125">
        <v>1</v>
      </c>
      <c r="G174" s="104"/>
      <c r="H174" s="106">
        <v>2286</v>
      </c>
      <c r="I174" s="106" t="s">
        <v>141</v>
      </c>
      <c r="J174" s="106" t="s">
        <v>149</v>
      </c>
      <c r="K174" s="125">
        <v>3</v>
      </c>
      <c r="L174" s="106"/>
      <c r="M174" s="104"/>
      <c r="N174" s="104"/>
      <c r="O174" s="106">
        <v>1269</v>
      </c>
      <c r="P174" s="106" t="s">
        <v>141</v>
      </c>
      <c r="Q174" s="106" t="s">
        <v>149</v>
      </c>
      <c r="R174" s="104">
        <v>3</v>
      </c>
      <c r="S174" s="106"/>
      <c r="T174" s="104"/>
      <c r="U174" s="106">
        <v>974</v>
      </c>
      <c r="V174" s="106" t="s">
        <v>141</v>
      </c>
      <c r="W174" s="106" t="s">
        <v>150</v>
      </c>
      <c r="X174">
        <v>1</v>
      </c>
      <c r="Z174" s="104"/>
      <c r="AA174" s="104"/>
      <c r="AB174" s="104"/>
      <c r="AC174" s="104"/>
    </row>
    <row r="175" spans="1:30">
      <c r="B175" s="104"/>
      <c r="C175" s="106">
        <v>1276</v>
      </c>
      <c r="D175" s="106" t="s">
        <v>141</v>
      </c>
      <c r="E175" s="106" t="s">
        <v>152</v>
      </c>
      <c r="F175" s="125">
        <v>1</v>
      </c>
      <c r="G175" s="104"/>
      <c r="H175" s="106">
        <v>1204</v>
      </c>
      <c r="I175" s="106" t="s">
        <v>141</v>
      </c>
      <c r="J175" s="106" t="s">
        <v>149</v>
      </c>
      <c r="K175" s="125">
        <v>3</v>
      </c>
      <c r="L175" s="106"/>
      <c r="M175" s="104"/>
      <c r="N175" s="104"/>
      <c r="O175" s="106">
        <v>7519</v>
      </c>
      <c r="P175" s="106" t="s">
        <v>141</v>
      </c>
      <c r="Q175" s="106" t="s">
        <v>153</v>
      </c>
      <c r="R175" s="104">
        <v>1</v>
      </c>
      <c r="S175" s="106"/>
      <c r="T175" s="104"/>
      <c r="U175" s="106">
        <v>1740</v>
      </c>
      <c r="V175" s="106" t="s">
        <v>141</v>
      </c>
      <c r="W175" s="106" t="s">
        <v>150</v>
      </c>
      <c r="X175">
        <v>1</v>
      </c>
      <c r="Z175" s="104"/>
      <c r="AA175" s="104"/>
      <c r="AB175" s="104"/>
      <c r="AC175" s="104"/>
    </row>
    <row r="176" spans="1:30">
      <c r="B176" s="104"/>
      <c r="C176" s="106">
        <v>3417</v>
      </c>
      <c r="D176" s="106" t="s">
        <v>141</v>
      </c>
      <c r="E176" s="106" t="s">
        <v>152</v>
      </c>
      <c r="F176" s="125">
        <v>1</v>
      </c>
      <c r="G176" s="104"/>
      <c r="H176" s="106">
        <v>926</v>
      </c>
      <c r="I176" s="106" t="s">
        <v>141</v>
      </c>
      <c r="J176" s="106" t="s">
        <v>149</v>
      </c>
      <c r="K176" s="125">
        <v>3</v>
      </c>
      <c r="L176" s="106"/>
      <c r="M176" s="104"/>
      <c r="N176" s="104"/>
      <c r="O176" s="121">
        <v>74981</v>
      </c>
      <c r="P176" s="121" t="s">
        <v>141</v>
      </c>
      <c r="Q176" s="121" t="s">
        <v>154</v>
      </c>
      <c r="R176" s="112">
        <v>2</v>
      </c>
      <c r="S176" s="121" t="s">
        <v>155</v>
      </c>
      <c r="T176" s="104"/>
      <c r="U176" s="107">
        <v>250</v>
      </c>
      <c r="V176" s="107" t="s">
        <v>141</v>
      </c>
      <c r="W176" s="107" t="s">
        <v>184</v>
      </c>
      <c r="X176" s="104">
        <v>1</v>
      </c>
      <c r="Y176" s="104"/>
      <c r="Z176" s="104"/>
      <c r="AA176" s="104"/>
      <c r="AB176" s="104"/>
      <c r="AC176" s="104">
        <f>AC170+AC171</f>
        <v>55528</v>
      </c>
    </row>
    <row r="177" spans="2:29">
      <c r="B177" s="104"/>
      <c r="C177" s="106">
        <v>306</v>
      </c>
      <c r="D177" s="106" t="s">
        <v>141</v>
      </c>
      <c r="E177" s="106" t="s">
        <v>156</v>
      </c>
      <c r="F177" s="125">
        <v>1</v>
      </c>
      <c r="G177" s="104"/>
      <c r="H177" s="106">
        <v>694</v>
      </c>
      <c r="I177" s="106" t="s">
        <v>141</v>
      </c>
      <c r="J177" s="106" t="s">
        <v>149</v>
      </c>
      <c r="K177" s="125">
        <v>3</v>
      </c>
      <c r="L177" s="106"/>
      <c r="M177" s="104"/>
      <c r="N177" s="104"/>
      <c r="O177" s="121">
        <v>1977</v>
      </c>
      <c r="P177" s="121" t="s">
        <v>141</v>
      </c>
      <c r="Q177" s="121" t="s">
        <v>149</v>
      </c>
      <c r="R177" s="112">
        <v>2</v>
      </c>
      <c r="S177" s="121" t="s">
        <v>155</v>
      </c>
      <c r="U177" s="107">
        <v>306</v>
      </c>
      <c r="V177" s="107" t="s">
        <v>141</v>
      </c>
      <c r="W177" s="107" t="s">
        <v>184</v>
      </c>
      <c r="X177" s="104">
        <v>1</v>
      </c>
      <c r="Y177" s="104"/>
      <c r="Z177" s="104"/>
      <c r="AA177" s="104"/>
      <c r="AB177" s="104"/>
      <c r="AC177" s="104"/>
    </row>
    <row r="178" spans="2:29">
      <c r="B178" s="104"/>
      <c r="C178" s="106">
        <v>347</v>
      </c>
      <c r="D178" s="106" t="s">
        <v>141</v>
      </c>
      <c r="E178" s="106" t="s">
        <v>156</v>
      </c>
      <c r="F178" s="125">
        <v>1</v>
      </c>
      <c r="G178" s="104"/>
      <c r="H178" s="106">
        <v>324</v>
      </c>
      <c r="I178" s="106" t="s">
        <v>141</v>
      </c>
      <c r="J178" s="106" t="s">
        <v>149</v>
      </c>
      <c r="K178" s="125">
        <v>3</v>
      </c>
      <c r="L178" s="106"/>
      <c r="M178" s="104"/>
      <c r="N178" s="104"/>
      <c r="O178" s="121">
        <v>731</v>
      </c>
      <c r="P178" s="121" t="s">
        <v>141</v>
      </c>
      <c r="Q178" s="121" t="s">
        <v>149</v>
      </c>
      <c r="R178" s="112">
        <v>2</v>
      </c>
      <c r="S178" s="121" t="s">
        <v>155</v>
      </c>
      <c r="X178" s="104"/>
      <c r="Y178" s="104"/>
      <c r="Z178" s="104"/>
      <c r="AA178" s="104"/>
      <c r="AB178" s="104"/>
      <c r="AC178" s="104"/>
    </row>
    <row r="179" spans="2:29">
      <c r="B179" s="104"/>
      <c r="C179" s="106">
        <v>1116</v>
      </c>
      <c r="D179" s="106" t="s">
        <v>141</v>
      </c>
      <c r="E179" s="106" t="s">
        <v>152</v>
      </c>
      <c r="F179" s="125">
        <v>1</v>
      </c>
      <c r="G179" s="104"/>
      <c r="H179" s="106">
        <v>1229</v>
      </c>
      <c r="I179" s="106" t="s">
        <v>141</v>
      </c>
      <c r="J179" s="106" t="s">
        <v>149</v>
      </c>
      <c r="K179" s="125">
        <v>3</v>
      </c>
      <c r="L179" s="106"/>
      <c r="M179" s="104"/>
      <c r="N179" s="104"/>
      <c r="O179" s="121">
        <v>4558</v>
      </c>
      <c r="P179" s="121" t="s">
        <v>141</v>
      </c>
      <c r="Q179" s="121" t="s">
        <v>149</v>
      </c>
      <c r="R179" s="112">
        <v>2</v>
      </c>
      <c r="S179" s="121" t="s">
        <v>155</v>
      </c>
      <c r="T179" s="115" t="s">
        <v>157</v>
      </c>
      <c r="U179" s="122">
        <f>U171-U172-U173-U174-U175-U176-U177</f>
        <v>132109</v>
      </c>
      <c r="V179" s="122" t="s">
        <v>141</v>
      </c>
      <c r="W179" s="122" t="s">
        <v>158</v>
      </c>
      <c r="X179" s="104"/>
      <c r="Y179" s="104"/>
      <c r="Z179" s="104"/>
      <c r="AA179" s="104"/>
      <c r="AB179" s="104">
        <f>((AA170*0.5*150)+(AA171*(7/12)*150)+(AA172*(2/12)*150))/2000</f>
        <v>19846.456249999999</v>
      </c>
      <c r="AC179" s="104"/>
    </row>
    <row r="180" spans="2:29">
      <c r="B180" s="104"/>
      <c r="C180" s="106">
        <v>66162</v>
      </c>
      <c r="D180" s="106" t="s">
        <v>141</v>
      </c>
      <c r="E180" s="106" t="s">
        <v>159</v>
      </c>
      <c r="F180" s="125">
        <v>1</v>
      </c>
      <c r="G180" s="104"/>
      <c r="H180" s="106">
        <v>1229</v>
      </c>
      <c r="I180" s="106" t="s">
        <v>141</v>
      </c>
      <c r="J180" s="106" t="s">
        <v>149</v>
      </c>
      <c r="K180" s="125">
        <v>3</v>
      </c>
      <c r="L180" s="106"/>
      <c r="M180" s="104"/>
      <c r="N180" s="104"/>
      <c r="O180" s="104"/>
      <c r="P180" s="104"/>
      <c r="Q180" s="104"/>
      <c r="R180" s="104"/>
      <c r="S180" s="104"/>
      <c r="T180" s="104"/>
      <c r="U180" s="104"/>
      <c r="V180" s="104"/>
      <c r="W180" s="104"/>
      <c r="X180" s="104"/>
      <c r="Y180" s="104"/>
      <c r="Z180" s="104"/>
      <c r="AA180" s="104"/>
      <c r="AB180" s="104"/>
      <c r="AC180" s="104"/>
    </row>
    <row r="181" spans="2:29">
      <c r="B181" s="104"/>
      <c r="C181" s="104"/>
      <c r="D181" s="104"/>
      <c r="E181" s="104"/>
      <c r="F181" s="104"/>
      <c r="G181" s="104"/>
      <c r="H181" s="118">
        <v>26000</v>
      </c>
      <c r="I181" s="118" t="s">
        <v>141</v>
      </c>
      <c r="J181" s="118" t="s">
        <v>160</v>
      </c>
      <c r="K181" s="102">
        <v>4</v>
      </c>
      <c r="L181" s="118" t="s">
        <v>161</v>
      </c>
      <c r="M181" s="104"/>
      <c r="N181" s="123" t="s">
        <v>157</v>
      </c>
      <c r="O181" s="122">
        <f>SUM(O171:O175)</f>
        <v>33029</v>
      </c>
      <c r="P181" s="123" t="s">
        <v>141</v>
      </c>
      <c r="Q181" s="107" t="s">
        <v>158</v>
      </c>
      <c r="R181" s="104"/>
      <c r="S181" s="104"/>
      <c r="T181" s="104"/>
      <c r="U181" s="104"/>
      <c r="V181" s="104"/>
      <c r="W181" s="104"/>
      <c r="X181" s="104"/>
      <c r="Y181" s="104"/>
      <c r="Z181" s="104"/>
      <c r="AA181" s="104"/>
      <c r="AB181" s="104"/>
      <c r="AC181" s="104"/>
    </row>
    <row r="182" spans="2:29">
      <c r="B182" s="116" t="s">
        <v>157</v>
      </c>
      <c r="C182" s="122">
        <f>SUM(C171:C180)</f>
        <v>115930</v>
      </c>
      <c r="D182" s="122" t="s">
        <v>141</v>
      </c>
      <c r="E182" s="122" t="s">
        <v>158</v>
      </c>
      <c r="F182" s="104"/>
      <c r="G182" s="104"/>
      <c r="H182" s="118">
        <v>189</v>
      </c>
      <c r="I182" s="118" t="s">
        <v>141</v>
      </c>
      <c r="J182" s="118" t="s">
        <v>149</v>
      </c>
      <c r="K182" s="102">
        <v>4</v>
      </c>
      <c r="L182" s="118" t="s">
        <v>161</v>
      </c>
      <c r="M182" s="104"/>
      <c r="N182" s="119" t="s">
        <v>157</v>
      </c>
      <c r="O182" s="119">
        <f>SUM(O176:O179)</f>
        <v>82247</v>
      </c>
      <c r="P182" s="119" t="s">
        <v>141</v>
      </c>
      <c r="Q182" s="121" t="s">
        <v>162</v>
      </c>
      <c r="R182" s="104"/>
      <c r="S182" s="104"/>
      <c r="T182" s="104"/>
      <c r="U182" s="104"/>
      <c r="V182" s="104"/>
      <c r="W182" s="104"/>
      <c r="X182" s="104"/>
      <c r="Y182" s="104"/>
      <c r="Z182" s="104"/>
      <c r="AA182" s="104"/>
      <c r="AB182" s="104"/>
      <c r="AC182" s="104"/>
    </row>
    <row r="183" spans="2:29">
      <c r="B183" s="104"/>
      <c r="C183" s="104"/>
      <c r="D183" s="104"/>
      <c r="E183" s="104"/>
      <c r="F183" s="104"/>
      <c r="G183" s="104"/>
      <c r="H183" s="118">
        <v>183</v>
      </c>
      <c r="I183" s="118" t="s">
        <v>141</v>
      </c>
      <c r="J183" s="118" t="s">
        <v>149</v>
      </c>
      <c r="K183" s="102">
        <v>4</v>
      </c>
      <c r="L183" s="118" t="s">
        <v>161</v>
      </c>
      <c r="M183" s="104"/>
      <c r="N183" s="104"/>
      <c r="O183" s="104"/>
      <c r="P183" s="104"/>
      <c r="Q183" s="104"/>
      <c r="R183" s="104"/>
      <c r="S183" s="104"/>
      <c r="T183" s="104"/>
      <c r="U183" s="104"/>
      <c r="V183" s="104"/>
      <c r="W183" s="104"/>
      <c r="X183" s="104"/>
      <c r="Y183" s="104"/>
      <c r="Z183" s="104"/>
      <c r="AA183" s="104"/>
      <c r="AB183" s="104"/>
      <c r="AC183" s="104"/>
    </row>
    <row r="184" spans="2:29">
      <c r="B184" s="104"/>
      <c r="C184" s="104"/>
      <c r="D184" s="104"/>
      <c r="E184" s="104"/>
      <c r="F184" s="104"/>
      <c r="G184" s="104"/>
      <c r="H184" s="118">
        <v>1021</v>
      </c>
      <c r="I184" s="118" t="s">
        <v>141</v>
      </c>
      <c r="J184" s="118" t="s">
        <v>149</v>
      </c>
      <c r="K184" s="102">
        <v>4</v>
      </c>
      <c r="L184" s="118" t="s">
        <v>161</v>
      </c>
      <c r="M184" s="104"/>
      <c r="N184" s="104"/>
      <c r="O184" s="104"/>
      <c r="P184" s="104"/>
      <c r="Q184" s="104"/>
      <c r="R184" s="104"/>
      <c r="S184" s="104"/>
      <c r="T184" s="104"/>
      <c r="U184" s="104"/>
      <c r="V184" s="104"/>
      <c r="W184" s="104"/>
      <c r="X184" s="104"/>
      <c r="Y184" s="104"/>
      <c r="Z184" s="104"/>
      <c r="AA184" s="104"/>
      <c r="AB184" s="104"/>
      <c r="AC184" s="104"/>
    </row>
    <row r="185" spans="2:29">
      <c r="B185" s="104"/>
      <c r="C185" s="104"/>
      <c r="D185" s="104"/>
      <c r="E185" s="104"/>
      <c r="F185" s="104"/>
      <c r="G185" s="104"/>
      <c r="H185" s="118">
        <v>174</v>
      </c>
      <c r="I185" s="118" t="s">
        <v>141</v>
      </c>
      <c r="J185" s="118" t="s">
        <v>149</v>
      </c>
      <c r="K185" s="102">
        <v>4</v>
      </c>
      <c r="L185" s="118" t="s">
        <v>161</v>
      </c>
      <c r="M185" s="104"/>
      <c r="N185" s="104"/>
      <c r="O185" s="104"/>
      <c r="P185" s="104"/>
      <c r="Q185" s="104"/>
      <c r="R185" s="104"/>
      <c r="S185" s="104"/>
      <c r="T185" s="104"/>
      <c r="U185" s="104"/>
      <c r="V185" s="104"/>
      <c r="W185" s="104"/>
      <c r="X185" s="104"/>
      <c r="Y185" s="104"/>
      <c r="Z185" s="104"/>
      <c r="AA185" s="104"/>
      <c r="AB185" s="104"/>
      <c r="AC185" s="104"/>
    </row>
    <row r="186" spans="2:29">
      <c r="B186" s="104"/>
      <c r="C186" s="104"/>
      <c r="D186" s="104"/>
      <c r="E186" s="104"/>
      <c r="F186" s="104"/>
      <c r="G186" s="104"/>
      <c r="H186" s="106">
        <v>7020</v>
      </c>
      <c r="I186" s="106" t="s">
        <v>141</v>
      </c>
      <c r="J186" s="106" t="s">
        <v>163</v>
      </c>
      <c r="K186" s="125">
        <v>3</v>
      </c>
      <c r="L186" s="106"/>
      <c r="M186" s="104"/>
      <c r="N186" s="104"/>
      <c r="O186" s="104"/>
      <c r="P186" s="104"/>
      <c r="Q186" s="104"/>
      <c r="R186" s="104"/>
      <c r="S186" s="104"/>
      <c r="T186" s="104"/>
      <c r="U186" s="104"/>
      <c r="V186" s="104"/>
      <c r="W186" s="104"/>
      <c r="X186" s="104"/>
      <c r="Y186" s="104"/>
      <c r="Z186" s="104"/>
      <c r="AA186" s="104"/>
      <c r="AB186" s="104"/>
      <c r="AC186" s="104"/>
    </row>
    <row r="187" spans="2:29">
      <c r="B187" s="104"/>
      <c r="C187" s="104"/>
      <c r="D187" s="104"/>
      <c r="E187" s="104"/>
      <c r="F187" s="104"/>
      <c r="G187" s="104"/>
      <c r="H187" s="106">
        <v>161</v>
      </c>
      <c r="I187" s="106" t="s">
        <v>141</v>
      </c>
      <c r="J187" s="106" t="s">
        <v>149</v>
      </c>
      <c r="K187" s="125">
        <v>3</v>
      </c>
      <c r="L187" s="106"/>
      <c r="M187" s="104"/>
      <c r="N187" s="104"/>
      <c r="O187" s="104"/>
      <c r="P187" s="104"/>
      <c r="Q187" s="104"/>
      <c r="R187" s="104"/>
      <c r="S187" s="104"/>
      <c r="T187" s="104"/>
      <c r="U187" s="104"/>
      <c r="V187" s="104"/>
      <c r="W187" s="104"/>
      <c r="X187" s="104"/>
      <c r="Y187" s="104"/>
      <c r="Z187" s="104"/>
      <c r="AA187" s="104"/>
      <c r="AB187" s="104"/>
      <c r="AC187" s="104"/>
    </row>
    <row r="188" spans="2:29">
      <c r="B188" s="104"/>
      <c r="C188" s="104"/>
      <c r="D188" s="104"/>
      <c r="E188" s="104"/>
      <c r="F188" s="104"/>
      <c r="G188" s="104"/>
      <c r="H188" s="106">
        <v>151</v>
      </c>
      <c r="I188" s="106" t="s">
        <v>141</v>
      </c>
      <c r="J188" s="106" t="s">
        <v>149</v>
      </c>
      <c r="K188" s="125">
        <v>3</v>
      </c>
      <c r="L188" s="106"/>
      <c r="M188" s="104"/>
      <c r="N188" s="104"/>
      <c r="O188" s="104"/>
      <c r="P188" s="104"/>
      <c r="Q188" s="104"/>
      <c r="R188" s="104"/>
      <c r="S188" s="104"/>
      <c r="T188" s="104"/>
      <c r="U188" s="104"/>
      <c r="V188" s="104"/>
      <c r="W188" s="104"/>
      <c r="X188" s="104"/>
      <c r="Y188" s="104"/>
      <c r="Z188" s="104"/>
      <c r="AA188" s="104"/>
      <c r="AB188" s="104"/>
      <c r="AC188" s="104"/>
    </row>
    <row r="189" spans="2:29">
      <c r="B189" s="104"/>
      <c r="C189" s="104"/>
      <c r="D189" s="104"/>
      <c r="E189" s="104"/>
      <c r="F189" s="104"/>
      <c r="G189" s="104"/>
      <c r="H189" s="118">
        <v>18460</v>
      </c>
      <c r="I189" s="118" t="s">
        <v>141</v>
      </c>
      <c r="J189" s="118" t="s">
        <v>164</v>
      </c>
      <c r="K189" s="102">
        <v>4</v>
      </c>
      <c r="L189" s="118" t="s">
        <v>161</v>
      </c>
      <c r="M189" s="104"/>
      <c r="N189" s="104"/>
      <c r="O189" s="104"/>
      <c r="P189" s="104"/>
      <c r="Q189" s="104"/>
      <c r="R189" s="104"/>
      <c r="S189" s="104"/>
      <c r="T189" s="104"/>
      <c r="U189" s="104"/>
      <c r="V189" s="104"/>
      <c r="W189" s="104"/>
      <c r="X189" s="104"/>
      <c r="Y189" s="104"/>
      <c r="Z189" s="104"/>
      <c r="AA189" s="104"/>
      <c r="AB189" s="104"/>
      <c r="AC189" s="104"/>
    </row>
    <row r="190" spans="2:29">
      <c r="B190" s="104"/>
      <c r="C190" s="104"/>
      <c r="D190" s="104"/>
      <c r="E190" s="104"/>
      <c r="F190" s="104"/>
      <c r="G190" s="104"/>
      <c r="H190" s="118">
        <v>1128</v>
      </c>
      <c r="I190" s="118" t="s">
        <v>141</v>
      </c>
      <c r="J190" s="118" t="s">
        <v>149</v>
      </c>
      <c r="K190" s="102">
        <v>4</v>
      </c>
      <c r="L190" s="118" t="s">
        <v>161</v>
      </c>
      <c r="M190" s="104"/>
      <c r="N190" s="104"/>
      <c r="O190" s="104"/>
      <c r="P190" s="104"/>
      <c r="Q190" s="104"/>
      <c r="R190" s="104"/>
      <c r="S190" s="104"/>
      <c r="T190" s="104"/>
      <c r="U190" s="104"/>
      <c r="V190" s="104"/>
      <c r="W190" s="104"/>
      <c r="X190" s="104"/>
      <c r="Y190" s="104"/>
      <c r="Z190" s="104"/>
      <c r="AA190" s="104"/>
      <c r="AB190" s="104"/>
      <c r="AC190" s="104"/>
    </row>
    <row r="191" spans="2:29">
      <c r="B191" s="104"/>
      <c r="C191" s="104"/>
      <c r="D191" s="104"/>
      <c r="E191" s="104"/>
      <c r="F191" s="104"/>
      <c r="G191" s="104"/>
      <c r="H191" s="118">
        <v>200</v>
      </c>
      <c r="I191" s="118" t="s">
        <v>141</v>
      </c>
      <c r="J191" s="118" t="s">
        <v>149</v>
      </c>
      <c r="K191" s="102">
        <v>4</v>
      </c>
      <c r="L191" s="118" t="s">
        <v>161</v>
      </c>
      <c r="M191" s="104"/>
      <c r="N191" s="104"/>
      <c r="O191" s="104"/>
      <c r="P191" s="104"/>
      <c r="Q191" s="104"/>
      <c r="R191" s="104"/>
      <c r="S191" s="104"/>
      <c r="T191" s="104"/>
      <c r="U191" s="104"/>
      <c r="V191" s="104"/>
      <c r="W191" s="104"/>
      <c r="X191" s="104"/>
      <c r="Y191" s="104"/>
      <c r="Z191" s="104"/>
      <c r="AA191" s="104"/>
      <c r="AB191" s="104"/>
      <c r="AC191" s="104"/>
    </row>
    <row r="192" spans="2:29">
      <c r="B192" s="104"/>
      <c r="C192" s="104"/>
      <c r="D192" s="104"/>
      <c r="E192" s="104"/>
      <c r="F192" s="104"/>
      <c r="G192" s="104"/>
      <c r="H192" s="106">
        <v>73840</v>
      </c>
      <c r="I192" s="106" t="s">
        <v>141</v>
      </c>
      <c r="J192" s="106" t="s">
        <v>165</v>
      </c>
      <c r="K192" s="101">
        <v>3</v>
      </c>
      <c r="L192" s="106"/>
      <c r="M192" s="104"/>
      <c r="N192" s="104"/>
      <c r="O192" s="104"/>
      <c r="P192" s="104"/>
      <c r="Q192" s="104"/>
      <c r="R192" s="104"/>
      <c r="S192" s="104"/>
      <c r="T192" s="104"/>
      <c r="U192" s="104"/>
      <c r="V192" s="104"/>
      <c r="W192" s="104"/>
      <c r="X192" s="104"/>
      <c r="Y192" s="104"/>
      <c r="Z192" s="104"/>
      <c r="AA192" s="104"/>
      <c r="AB192" s="104"/>
      <c r="AC192" s="104"/>
    </row>
    <row r="193" spans="2:29">
      <c r="B193" s="1"/>
      <c r="C193" s="1"/>
      <c r="D193" s="1"/>
      <c r="E193" s="1"/>
      <c r="F193" s="1"/>
      <c r="G193" s="104"/>
      <c r="H193" s="106">
        <v>1129</v>
      </c>
      <c r="I193" s="106" t="s">
        <v>141</v>
      </c>
      <c r="J193" s="106" t="s">
        <v>149</v>
      </c>
      <c r="K193" s="101">
        <v>3</v>
      </c>
      <c r="L193" s="106"/>
      <c r="M193" s="1"/>
      <c r="N193" s="1"/>
      <c r="O193" s="1"/>
      <c r="P193" s="1"/>
      <c r="Q193" s="1"/>
      <c r="R193" s="1"/>
      <c r="S193" s="1"/>
      <c r="T193" s="1"/>
      <c r="U193" s="104"/>
      <c r="V193" s="104"/>
      <c r="W193" s="104"/>
      <c r="X193" s="1"/>
      <c r="Y193" s="1"/>
      <c r="Z193" s="1"/>
      <c r="AA193" s="1"/>
      <c r="AB193" s="1"/>
      <c r="AC193" s="1"/>
    </row>
    <row r="194" spans="2:29">
      <c r="B194" s="1"/>
      <c r="C194" s="1"/>
      <c r="D194" s="1"/>
      <c r="E194" s="1"/>
      <c r="F194" s="1"/>
      <c r="G194" s="104"/>
      <c r="H194" s="106">
        <v>1706</v>
      </c>
      <c r="I194" s="106" t="s">
        <v>141</v>
      </c>
      <c r="J194" s="106" t="s">
        <v>149</v>
      </c>
      <c r="K194" s="101">
        <v>3</v>
      </c>
      <c r="L194" s="106"/>
      <c r="M194" s="1"/>
      <c r="N194" s="1"/>
      <c r="O194" s="1"/>
      <c r="P194" s="1"/>
      <c r="Q194" s="1"/>
      <c r="R194" s="1"/>
      <c r="S194" s="1"/>
      <c r="T194" s="1"/>
      <c r="U194" s="1"/>
      <c r="V194" s="1"/>
      <c r="W194" s="1"/>
      <c r="X194" s="1"/>
      <c r="Y194" s="1"/>
      <c r="Z194" s="1"/>
      <c r="AA194" s="1"/>
      <c r="AB194" s="1"/>
      <c r="AC194" s="1"/>
    </row>
    <row r="195" spans="2:29">
      <c r="B195" s="1"/>
      <c r="C195" s="1"/>
      <c r="D195" s="1"/>
      <c r="E195" s="1"/>
      <c r="F195" s="1"/>
      <c r="G195" s="104"/>
      <c r="H195" s="106">
        <v>1384</v>
      </c>
      <c r="I195" s="106" t="s">
        <v>141</v>
      </c>
      <c r="J195" s="106" t="s">
        <v>149</v>
      </c>
      <c r="K195" s="101">
        <v>3</v>
      </c>
      <c r="L195" s="106"/>
      <c r="M195" s="1"/>
      <c r="N195" s="1"/>
      <c r="O195" s="1"/>
      <c r="P195" s="1"/>
      <c r="Q195" s="1"/>
      <c r="R195" s="1"/>
      <c r="S195" s="1"/>
      <c r="T195" s="1"/>
      <c r="U195" s="1"/>
      <c r="V195" s="1"/>
      <c r="W195" s="1"/>
      <c r="X195" s="1"/>
      <c r="Y195" s="1"/>
      <c r="Z195" s="1"/>
      <c r="AA195" s="1"/>
      <c r="AB195" s="1"/>
      <c r="AC195" s="1"/>
    </row>
    <row r="196" spans="2:29">
      <c r="B196" s="1"/>
      <c r="C196" s="1"/>
      <c r="D196" s="1"/>
      <c r="E196" s="1"/>
      <c r="F196" s="1"/>
      <c r="G196" s="104"/>
      <c r="H196" s="106">
        <v>1357</v>
      </c>
      <c r="I196" s="106" t="s">
        <v>41</v>
      </c>
      <c r="J196" s="106" t="s">
        <v>149</v>
      </c>
      <c r="K196" s="101">
        <v>3</v>
      </c>
      <c r="L196" s="106"/>
      <c r="M196" s="1"/>
      <c r="N196" s="1"/>
      <c r="O196" s="1"/>
      <c r="P196" s="1"/>
      <c r="Q196" s="1"/>
      <c r="R196" s="1"/>
      <c r="S196" s="1"/>
      <c r="T196" s="1"/>
      <c r="U196" s="1"/>
      <c r="V196" s="1"/>
      <c r="W196" s="1"/>
      <c r="X196" s="1"/>
      <c r="Y196" s="1"/>
      <c r="Z196" s="1"/>
      <c r="AA196" s="1"/>
      <c r="AB196" s="1"/>
      <c r="AC196" s="1"/>
    </row>
    <row r="197" spans="2:29">
      <c r="B197" s="1"/>
      <c r="C197" s="1"/>
      <c r="D197" s="1"/>
      <c r="E197" s="1"/>
      <c r="F197" s="1"/>
      <c r="G197" s="104"/>
      <c r="H197" s="106">
        <v>605</v>
      </c>
      <c r="I197" s="106" t="s">
        <v>141</v>
      </c>
      <c r="J197" s="106" t="s">
        <v>149</v>
      </c>
      <c r="K197" s="101">
        <v>3</v>
      </c>
      <c r="L197" s="106"/>
      <c r="M197" s="1"/>
      <c r="N197" s="1"/>
      <c r="O197" s="1"/>
      <c r="P197" s="1"/>
      <c r="Q197" s="1"/>
      <c r="R197" s="1"/>
      <c r="S197" s="1"/>
      <c r="T197" s="1"/>
      <c r="U197" s="1"/>
      <c r="V197" s="1"/>
      <c r="W197" s="1"/>
      <c r="X197" s="1"/>
      <c r="Y197" s="1"/>
      <c r="Z197" s="1"/>
      <c r="AA197" s="1"/>
      <c r="AB197" s="1"/>
      <c r="AC197" s="1"/>
    </row>
    <row r="198" spans="2:29">
      <c r="B198" s="1"/>
      <c r="C198" s="1"/>
      <c r="D198" s="1"/>
      <c r="E198" s="1"/>
      <c r="F198" s="1"/>
      <c r="G198" s="104"/>
      <c r="H198" s="106">
        <v>812</v>
      </c>
      <c r="I198" s="106" t="s">
        <v>141</v>
      </c>
      <c r="J198" s="106" t="s">
        <v>149</v>
      </c>
      <c r="K198" s="101">
        <v>3</v>
      </c>
      <c r="L198" s="106"/>
      <c r="M198" s="1"/>
      <c r="N198" s="1"/>
      <c r="O198" s="1"/>
      <c r="P198" s="1"/>
      <c r="Q198" s="1"/>
      <c r="R198" s="1"/>
      <c r="S198" s="1"/>
      <c r="T198" s="1"/>
      <c r="U198" s="1"/>
      <c r="V198" s="1"/>
      <c r="W198" s="1"/>
      <c r="X198" s="1"/>
      <c r="Y198" s="1"/>
      <c r="Z198" s="1"/>
      <c r="AA198" s="1"/>
      <c r="AB198" s="1"/>
      <c r="AC198" s="1"/>
    </row>
    <row r="199" spans="2:29">
      <c r="B199" s="1"/>
      <c r="C199" s="1"/>
      <c r="D199" s="1"/>
      <c r="E199" s="1"/>
      <c r="F199" s="1"/>
      <c r="G199" s="104"/>
      <c r="H199" s="106">
        <v>533</v>
      </c>
      <c r="I199" s="106" t="s">
        <v>141</v>
      </c>
      <c r="J199" s="106" t="s">
        <v>149</v>
      </c>
      <c r="K199" s="101">
        <v>3</v>
      </c>
      <c r="L199" s="106"/>
      <c r="M199" s="1"/>
      <c r="N199" s="1"/>
      <c r="O199" s="1"/>
      <c r="P199" s="1"/>
      <c r="Q199" s="1"/>
      <c r="R199" s="1"/>
      <c r="S199" s="1"/>
      <c r="T199" s="1"/>
      <c r="U199" s="1"/>
      <c r="V199" s="1"/>
      <c r="W199" s="1"/>
      <c r="X199" s="1"/>
      <c r="Y199" s="1"/>
      <c r="Z199" s="1"/>
      <c r="AA199" s="1"/>
      <c r="AB199" s="1"/>
      <c r="AC199" s="1"/>
    </row>
    <row r="200" spans="2:29">
      <c r="B200" s="1"/>
      <c r="C200" s="1"/>
      <c r="D200" s="1"/>
      <c r="E200" s="1"/>
      <c r="F200" s="1"/>
      <c r="G200" s="104"/>
      <c r="H200" s="106">
        <v>665</v>
      </c>
      <c r="I200" s="106" t="s">
        <v>141</v>
      </c>
      <c r="J200" s="106" t="s">
        <v>149</v>
      </c>
      <c r="K200" s="101">
        <v>3</v>
      </c>
      <c r="L200" s="106"/>
      <c r="M200" s="1"/>
      <c r="N200" s="1"/>
      <c r="O200" s="1"/>
      <c r="P200" s="1"/>
      <c r="Q200" s="1"/>
      <c r="R200" s="1"/>
      <c r="S200" s="1"/>
      <c r="T200" s="1"/>
      <c r="U200" s="1"/>
      <c r="V200" s="1"/>
      <c r="W200" s="1"/>
      <c r="X200" s="1"/>
      <c r="Y200" s="1"/>
      <c r="Z200" s="1"/>
      <c r="AA200" s="1"/>
      <c r="AB200" s="1"/>
      <c r="AC200" s="1"/>
    </row>
    <row r="201" spans="2:29">
      <c r="B201" s="1"/>
      <c r="C201" s="1"/>
      <c r="D201" s="1"/>
      <c r="E201" s="1"/>
      <c r="F201" s="1"/>
      <c r="G201" s="104"/>
      <c r="H201" s="106">
        <v>1993</v>
      </c>
      <c r="I201" s="106" t="s">
        <v>141</v>
      </c>
      <c r="J201" s="106" t="s">
        <v>149</v>
      </c>
      <c r="K201" s="101">
        <v>3</v>
      </c>
      <c r="L201" s="106"/>
      <c r="M201" s="1"/>
      <c r="N201" s="1"/>
      <c r="O201" s="1"/>
      <c r="P201" s="1"/>
      <c r="Q201" s="1"/>
      <c r="R201" s="1"/>
      <c r="S201" s="1"/>
      <c r="T201" s="1"/>
      <c r="U201" s="1"/>
      <c r="V201" s="1"/>
      <c r="W201" s="1"/>
      <c r="X201" s="1"/>
      <c r="Y201" s="1"/>
      <c r="Z201" s="1"/>
      <c r="AA201" s="1"/>
      <c r="AB201" s="1"/>
      <c r="AC201" s="1"/>
    </row>
    <row r="202" spans="2:29">
      <c r="B202" s="1"/>
      <c r="C202" s="1"/>
      <c r="D202" s="1"/>
      <c r="E202" s="1"/>
      <c r="F202" s="1"/>
      <c r="G202" s="104"/>
      <c r="H202" s="106">
        <v>1237</v>
      </c>
      <c r="I202" s="106" t="s">
        <v>141</v>
      </c>
      <c r="J202" s="106" t="s">
        <v>149</v>
      </c>
      <c r="K202" s="101">
        <v>3</v>
      </c>
      <c r="L202" s="106"/>
      <c r="M202" s="1"/>
      <c r="N202" s="1"/>
      <c r="O202" s="1"/>
      <c r="P202" s="1"/>
      <c r="Q202" s="1"/>
      <c r="R202" s="1"/>
      <c r="S202" s="1"/>
      <c r="T202" s="1"/>
      <c r="U202" s="1"/>
      <c r="V202" s="1"/>
      <c r="W202" s="1"/>
      <c r="X202" s="1"/>
      <c r="Y202" s="1"/>
      <c r="Z202" s="1"/>
      <c r="AA202" s="1"/>
      <c r="AB202" s="1"/>
      <c r="AC202" s="1"/>
    </row>
    <row r="203" spans="2:29">
      <c r="B203" s="1"/>
      <c r="C203" s="1"/>
      <c r="D203" s="1"/>
      <c r="E203" s="1"/>
      <c r="F203" s="1"/>
      <c r="G203" s="104"/>
      <c r="H203" s="106">
        <v>1231</v>
      </c>
      <c r="I203" s="106" t="s">
        <v>141</v>
      </c>
      <c r="J203" s="106" t="s">
        <v>149</v>
      </c>
      <c r="K203" s="101">
        <v>3</v>
      </c>
      <c r="L203" s="106"/>
      <c r="M203" s="1"/>
      <c r="N203" s="1"/>
      <c r="O203" s="1"/>
      <c r="P203" s="1"/>
      <c r="Q203" s="1"/>
      <c r="R203" s="1"/>
      <c r="S203" s="1"/>
      <c r="T203" s="1"/>
      <c r="U203" s="1"/>
      <c r="V203" s="1"/>
      <c r="W203" s="1"/>
      <c r="X203" s="1"/>
      <c r="Y203" s="1"/>
      <c r="Z203" s="1"/>
      <c r="AA203" s="1"/>
      <c r="AB203" s="1"/>
      <c r="AC203" s="1"/>
    </row>
    <row r="204" spans="2:29">
      <c r="B204" s="1"/>
      <c r="C204" s="1"/>
      <c r="D204" s="1"/>
      <c r="E204" s="1"/>
      <c r="F204" s="1"/>
      <c r="G204" s="104"/>
      <c r="H204" s="106">
        <v>1166</v>
      </c>
      <c r="I204" s="106" t="s">
        <v>141</v>
      </c>
      <c r="J204" s="106" t="s">
        <v>149</v>
      </c>
      <c r="K204" s="101">
        <v>3</v>
      </c>
      <c r="L204" s="106"/>
      <c r="M204" s="1"/>
      <c r="N204" s="1"/>
      <c r="O204" s="1"/>
      <c r="P204" s="1"/>
      <c r="Q204" s="1"/>
      <c r="R204" s="1"/>
      <c r="S204" s="1"/>
      <c r="T204" s="1"/>
      <c r="U204" s="1"/>
      <c r="V204" s="1"/>
      <c r="W204" s="1"/>
      <c r="X204" s="1"/>
      <c r="Y204" s="1"/>
      <c r="Z204" s="1"/>
      <c r="AA204" s="1"/>
      <c r="AB204" s="1"/>
      <c r="AC204" s="1"/>
    </row>
    <row r="205" spans="2:29">
      <c r="B205" s="1"/>
      <c r="C205" s="1"/>
      <c r="D205" s="1"/>
      <c r="E205" s="1"/>
      <c r="F205" s="1"/>
      <c r="G205" s="104"/>
      <c r="H205" s="106">
        <v>304</v>
      </c>
      <c r="I205" s="106" t="s">
        <v>141</v>
      </c>
      <c r="J205" s="106" t="s">
        <v>149</v>
      </c>
      <c r="K205" s="101">
        <v>3</v>
      </c>
      <c r="L205" s="106"/>
      <c r="M205" s="1"/>
      <c r="N205" s="1"/>
      <c r="O205" s="1"/>
      <c r="P205" s="1"/>
      <c r="Q205" s="1"/>
      <c r="R205" s="1"/>
      <c r="S205" s="1"/>
      <c r="T205" s="1"/>
      <c r="U205" s="1"/>
      <c r="V205" s="1"/>
      <c r="W205" s="1"/>
      <c r="X205" s="1"/>
      <c r="Y205" s="1"/>
      <c r="Z205" s="1"/>
      <c r="AA205" s="1"/>
      <c r="AB205" s="1"/>
      <c r="AC205" s="1"/>
    </row>
    <row r="206" spans="2:29">
      <c r="B206" s="1"/>
      <c r="C206" s="1"/>
      <c r="D206" s="1"/>
      <c r="E206" s="1"/>
      <c r="F206" s="1"/>
      <c r="G206" s="1"/>
      <c r="H206" s="1"/>
      <c r="J206" s="1"/>
      <c r="K206" s="1"/>
      <c r="L206" s="1"/>
      <c r="M206" s="1"/>
      <c r="N206" s="1"/>
      <c r="O206" s="1"/>
      <c r="P206" s="1"/>
      <c r="Q206" s="1"/>
      <c r="R206" s="1"/>
      <c r="S206" s="1"/>
      <c r="T206" s="1"/>
      <c r="U206" s="1"/>
      <c r="V206" s="1"/>
      <c r="W206" s="1"/>
      <c r="X206" s="1"/>
      <c r="Y206" s="1"/>
      <c r="Z206" s="1"/>
      <c r="AA206" s="1"/>
      <c r="AB206" s="1"/>
      <c r="AC206" s="1"/>
    </row>
    <row r="207" spans="2:29">
      <c r="B207" s="1"/>
      <c r="C207" s="1"/>
      <c r="D207" s="1"/>
      <c r="E207" s="1"/>
      <c r="F207" s="1"/>
      <c r="G207" s="116" t="s">
        <v>157</v>
      </c>
      <c r="H207" s="122">
        <f>SUM(H171:H180)+SUM(H186:H188)+SUM(H192:H205)</f>
        <v>136431</v>
      </c>
      <c r="I207" s="122" t="s">
        <v>141</v>
      </c>
      <c r="J207" s="122" t="s">
        <v>166</v>
      </c>
      <c r="K207" s="104"/>
      <c r="L207" s="104"/>
      <c r="M207" s="1"/>
      <c r="N207" s="1"/>
      <c r="O207" s="1"/>
      <c r="P207" s="1"/>
      <c r="Q207" s="1"/>
      <c r="R207" s="1"/>
      <c r="S207" s="1"/>
      <c r="T207" s="1"/>
      <c r="U207" s="1"/>
      <c r="V207" s="1"/>
      <c r="W207" s="1"/>
      <c r="X207" s="1"/>
      <c r="Y207" s="1"/>
      <c r="Z207" s="1"/>
      <c r="AA207" s="1"/>
      <c r="AB207" s="1"/>
      <c r="AC207" s="1"/>
    </row>
    <row r="208" spans="2:29">
      <c r="B208" s="1"/>
      <c r="C208" s="1"/>
      <c r="D208" s="1"/>
      <c r="E208" s="1"/>
      <c r="F208" s="1"/>
      <c r="G208" s="120" t="s">
        <v>157</v>
      </c>
      <c r="H208" s="124">
        <f>SUM(H181:H185)+SUM(H189:H191)</f>
        <v>47355</v>
      </c>
      <c r="I208" s="124" t="s">
        <v>141</v>
      </c>
      <c r="J208" s="124" t="s">
        <v>167</v>
      </c>
      <c r="K208" s="104"/>
      <c r="L208" s="104"/>
      <c r="M208" s="1"/>
      <c r="N208" s="1"/>
      <c r="O208" s="1"/>
      <c r="P208" s="1"/>
      <c r="Q208" s="1"/>
      <c r="R208" s="1"/>
      <c r="S208" s="1"/>
      <c r="T208" s="1"/>
      <c r="U208" s="1"/>
      <c r="V208" s="1"/>
      <c r="W208" s="1"/>
      <c r="X208" s="1"/>
      <c r="Y208" s="1"/>
      <c r="Z208" s="1"/>
      <c r="AA208" s="1"/>
      <c r="AB208" s="1"/>
      <c r="AC208" s="1"/>
    </row>
    <row r="209" spans="3:29">
      <c r="U209" s="1"/>
      <c r="V209" s="1"/>
      <c r="W209" s="1"/>
    </row>
    <row r="211" spans="3:29">
      <c r="C211" s="125" t="s">
        <v>47</v>
      </c>
      <c r="D211" s="125"/>
      <c r="E211" s="125"/>
      <c r="F211" s="125"/>
      <c r="G211" s="125"/>
      <c r="H211" s="125"/>
      <c r="I211" s="125"/>
      <c r="J211" s="125"/>
      <c r="K211" s="125"/>
      <c r="L211" s="125"/>
      <c r="M211" s="125"/>
      <c r="N211" s="125"/>
      <c r="O211" s="125"/>
      <c r="P211" s="125"/>
      <c r="Q211" s="125"/>
      <c r="R211" s="125"/>
      <c r="S211" s="125"/>
      <c r="T211" s="125"/>
      <c r="X211" s="125"/>
      <c r="Y211" s="125"/>
      <c r="Z211" s="125"/>
      <c r="AA211" s="125"/>
      <c r="AB211" s="125"/>
      <c r="AC211" s="125"/>
    </row>
    <row r="212" spans="3:29">
      <c r="C212" s="260" t="s">
        <v>130</v>
      </c>
      <c r="D212" s="260"/>
      <c r="E212" s="260"/>
      <c r="F212" s="104"/>
      <c r="H212" s="262" t="s">
        <v>131</v>
      </c>
      <c r="I212" s="262"/>
      <c r="J212" s="262"/>
      <c r="K212" s="262"/>
      <c r="L212" s="262"/>
      <c r="O212" s="245" t="s">
        <v>132</v>
      </c>
      <c r="P212" s="247"/>
      <c r="Q212" s="247"/>
      <c r="R212" s="247"/>
      <c r="S212" s="247"/>
      <c r="U212" s="125"/>
      <c r="V212" s="125"/>
      <c r="W212" s="125"/>
      <c r="X212" s="98"/>
      <c r="AA212" t="s">
        <v>172</v>
      </c>
    </row>
    <row r="213" spans="3:29">
      <c r="C213" s="250" t="s">
        <v>135</v>
      </c>
      <c r="D213" s="250"/>
      <c r="E213" s="106" t="s">
        <v>136</v>
      </c>
      <c r="F213" s="125" t="s">
        <v>137</v>
      </c>
      <c r="H213" s="250" t="s">
        <v>135</v>
      </c>
      <c r="I213" s="250"/>
      <c r="J213" s="106" t="s">
        <v>136</v>
      </c>
      <c r="K213" s="110" t="s">
        <v>138</v>
      </c>
      <c r="L213" s="109"/>
      <c r="O213" s="105" t="s">
        <v>135</v>
      </c>
      <c r="P213" s="105"/>
      <c r="Q213" s="106" t="s">
        <v>136</v>
      </c>
      <c r="R213" s="104" t="s">
        <v>138</v>
      </c>
      <c r="S213" s="106" t="s">
        <v>139</v>
      </c>
      <c r="U213" s="103" t="s">
        <v>133</v>
      </c>
      <c r="V213" s="98"/>
      <c r="W213" s="98"/>
      <c r="X213" s="104" t="s">
        <v>168</v>
      </c>
      <c r="AA213">
        <f>C225+H246+O227+U221</f>
        <v>500302</v>
      </c>
      <c r="AB213" t="s">
        <v>141</v>
      </c>
      <c r="AC213" t="s">
        <v>173</v>
      </c>
    </row>
    <row r="214" spans="3:29">
      <c r="C214">
        <f>C171</f>
        <v>19385</v>
      </c>
      <c r="D214" t="s">
        <v>141</v>
      </c>
      <c r="E214" t="str">
        <f>E171</f>
        <v>0+00 to 6+00</v>
      </c>
      <c r="F214">
        <f>F171</f>
        <v>1</v>
      </c>
      <c r="H214">
        <f>H171</f>
        <v>2893</v>
      </c>
      <c r="I214" s="1" t="s">
        <v>141</v>
      </c>
      <c r="J214" s="1" t="str">
        <f>J171</f>
        <v>30+00 to 30+60.32</v>
      </c>
      <c r="K214">
        <f>K171</f>
        <v>1</v>
      </c>
      <c r="L214" s="109"/>
      <c r="O214" s="100">
        <f t="shared" ref="O214:O222" si="21">O171</f>
        <v>21978</v>
      </c>
      <c r="P214" s="100" t="s">
        <v>141</v>
      </c>
      <c r="Q214" s="100" t="str">
        <f t="shared" ref="Q214:R222" si="22">Q171</f>
        <v>90+00 to 98+45.28</v>
      </c>
      <c r="R214" s="100">
        <f t="shared" si="22"/>
        <v>3</v>
      </c>
      <c r="U214" s="105" t="s">
        <v>135</v>
      </c>
      <c r="V214" s="105"/>
      <c r="W214" s="106" t="s">
        <v>170</v>
      </c>
      <c r="X214">
        <f t="shared" ref="X214:X218" si="23">X171</f>
        <v>1</v>
      </c>
      <c r="AA214">
        <f>U66*3</f>
        <v>38700</v>
      </c>
      <c r="AB214" t="s">
        <v>141</v>
      </c>
      <c r="AC214" t="s">
        <v>174</v>
      </c>
    </row>
    <row r="215" spans="3:29">
      <c r="C215" s="104">
        <f t="shared" ref="C215:C223" si="24">C172</f>
        <v>22996.999999999996</v>
      </c>
      <c r="D215" s="104" t="s">
        <v>141</v>
      </c>
      <c r="E215" s="104" t="str">
        <f t="shared" ref="E215:F223" si="25">E172</f>
        <v>5+83 to 14+67.83</v>
      </c>
      <c r="F215" s="104">
        <f t="shared" si="25"/>
        <v>1</v>
      </c>
      <c r="H215" s="100">
        <f t="shared" ref="H215:H223" si="26">H172</f>
        <v>29112</v>
      </c>
      <c r="I215" s="100" t="s">
        <v>141</v>
      </c>
      <c r="J215" s="100" t="str">
        <f t="shared" ref="J215:J223" si="27">J172</f>
        <v>30+60.32 to 41+80</v>
      </c>
      <c r="K215" s="100">
        <f t="shared" ref="K215:K223" si="28">K172</f>
        <v>3</v>
      </c>
      <c r="O215" s="100">
        <f t="shared" si="21"/>
        <v>1057</v>
      </c>
      <c r="P215" s="100" t="s">
        <v>141</v>
      </c>
      <c r="Q215" s="100" t="str">
        <f t="shared" si="22"/>
        <v>approach</v>
      </c>
      <c r="R215" s="100">
        <f t="shared" si="22"/>
        <v>3</v>
      </c>
      <c r="U215">
        <f>U171</f>
        <v>137744</v>
      </c>
      <c r="V215" t="s">
        <v>141</v>
      </c>
      <c r="W215" t="str">
        <f>W171</f>
        <v>127+19.30 to 163+64.64</v>
      </c>
      <c r="X215" s="104">
        <f t="shared" si="23"/>
        <v>1</v>
      </c>
    </row>
    <row r="216" spans="3:29">
      <c r="C216" s="104">
        <f t="shared" si="24"/>
        <v>654</v>
      </c>
      <c r="D216" s="104" t="s">
        <v>141</v>
      </c>
      <c r="E216" s="104" t="str">
        <f t="shared" si="25"/>
        <v xml:space="preserve">approach </v>
      </c>
      <c r="F216" s="104">
        <f t="shared" si="25"/>
        <v>1</v>
      </c>
      <c r="H216" s="100">
        <f t="shared" si="26"/>
        <v>1240</v>
      </c>
      <c r="I216" s="100" t="s">
        <v>141</v>
      </c>
      <c r="J216" s="100" t="str">
        <f t="shared" si="27"/>
        <v>approach</v>
      </c>
      <c r="K216" s="100">
        <f t="shared" si="28"/>
        <v>3</v>
      </c>
      <c r="O216" s="100">
        <f t="shared" si="21"/>
        <v>1206</v>
      </c>
      <c r="P216" s="100" t="s">
        <v>141</v>
      </c>
      <c r="Q216" s="100" t="str">
        <f t="shared" si="22"/>
        <v>approach</v>
      </c>
      <c r="R216" s="100">
        <f t="shared" si="22"/>
        <v>3</v>
      </c>
      <c r="U216" s="104">
        <f>U172</f>
        <v>645</v>
      </c>
      <c r="V216" s="104" t="s">
        <v>141</v>
      </c>
      <c r="W216" s="104" t="str">
        <f>W172</f>
        <v>subtract island</v>
      </c>
      <c r="X216" s="104">
        <f t="shared" si="23"/>
        <v>1</v>
      </c>
      <c r="AA216">
        <f>SUM(AA213:AA214)</f>
        <v>539002</v>
      </c>
      <c r="AB216" t="s">
        <v>41</v>
      </c>
      <c r="AC216" t="s">
        <v>175</v>
      </c>
    </row>
    <row r="217" spans="3:29">
      <c r="C217" s="104">
        <f t="shared" si="24"/>
        <v>270</v>
      </c>
      <c r="D217" s="104" t="s">
        <v>141</v>
      </c>
      <c r="E217" s="104" t="str">
        <f t="shared" si="25"/>
        <v xml:space="preserve">approach </v>
      </c>
      <c r="F217" s="104">
        <f t="shared" si="25"/>
        <v>1</v>
      </c>
      <c r="H217" s="100">
        <f t="shared" si="26"/>
        <v>2286</v>
      </c>
      <c r="I217" s="100" t="s">
        <v>141</v>
      </c>
      <c r="J217" s="100" t="str">
        <f t="shared" si="27"/>
        <v>approach</v>
      </c>
      <c r="K217" s="100">
        <f t="shared" si="28"/>
        <v>3</v>
      </c>
      <c r="O217" s="100">
        <f t="shared" si="21"/>
        <v>1269</v>
      </c>
      <c r="P217" s="100" t="s">
        <v>141</v>
      </c>
      <c r="Q217" s="100" t="str">
        <f t="shared" si="22"/>
        <v>approach</v>
      </c>
      <c r="R217" s="100">
        <f t="shared" si="22"/>
        <v>3</v>
      </c>
      <c r="U217" s="104">
        <f>U173</f>
        <v>1720</v>
      </c>
      <c r="V217" s="104" t="s">
        <v>141</v>
      </c>
      <c r="W217" s="104" t="str">
        <f>W173</f>
        <v>subtract island</v>
      </c>
      <c r="X217" s="104">
        <f t="shared" si="23"/>
        <v>1</v>
      </c>
    </row>
    <row r="218" spans="3:29">
      <c r="C218" s="104">
        <f t="shared" si="24"/>
        <v>1276</v>
      </c>
      <c r="D218" s="104" t="s">
        <v>141</v>
      </c>
      <c r="E218" s="104" t="str">
        <f t="shared" si="25"/>
        <v xml:space="preserve">approach </v>
      </c>
      <c r="F218" s="104">
        <f t="shared" si="25"/>
        <v>1</v>
      </c>
      <c r="H218" s="100">
        <f t="shared" si="26"/>
        <v>1204</v>
      </c>
      <c r="I218" s="100" t="s">
        <v>141</v>
      </c>
      <c r="J218" s="100" t="str">
        <f t="shared" si="27"/>
        <v>approach</v>
      </c>
      <c r="K218" s="100">
        <f t="shared" si="28"/>
        <v>3</v>
      </c>
      <c r="O218" s="104">
        <f t="shared" si="21"/>
        <v>7519</v>
      </c>
      <c r="P218" s="104" t="s">
        <v>141</v>
      </c>
      <c r="Q218" s="104" t="str">
        <f t="shared" si="22"/>
        <v>98+45.28 to 100+95.89</v>
      </c>
      <c r="R218" s="104">
        <f t="shared" si="22"/>
        <v>1</v>
      </c>
      <c r="U218" s="104">
        <f>U174</f>
        <v>974</v>
      </c>
      <c r="V218" s="104" t="s">
        <v>141</v>
      </c>
      <c r="W218" s="104" t="str">
        <f>W174</f>
        <v>subtract island</v>
      </c>
      <c r="X218" s="104">
        <f t="shared" si="23"/>
        <v>1</v>
      </c>
    </row>
    <row r="219" spans="3:29">
      <c r="C219" s="104">
        <f t="shared" si="24"/>
        <v>3417</v>
      </c>
      <c r="D219" s="104" t="s">
        <v>141</v>
      </c>
      <c r="E219" s="104" t="str">
        <f t="shared" si="25"/>
        <v xml:space="preserve">approach </v>
      </c>
      <c r="F219" s="104">
        <f t="shared" si="25"/>
        <v>1</v>
      </c>
      <c r="H219" s="100">
        <f t="shared" si="26"/>
        <v>926</v>
      </c>
      <c r="I219" s="100" t="s">
        <v>141</v>
      </c>
      <c r="J219" s="100" t="str">
        <f t="shared" si="27"/>
        <v>approach</v>
      </c>
      <c r="K219" s="100">
        <f t="shared" si="28"/>
        <v>3</v>
      </c>
      <c r="O219" s="104">
        <f t="shared" si="21"/>
        <v>74981</v>
      </c>
      <c r="P219" s="104" t="s">
        <v>141</v>
      </c>
      <c r="Q219" s="104" t="str">
        <f t="shared" si="22"/>
        <v>100+95.89 to 125+95.23</v>
      </c>
      <c r="R219" s="104">
        <f t="shared" si="22"/>
        <v>2</v>
      </c>
      <c r="U219" s="104">
        <f>U175</f>
        <v>1740</v>
      </c>
      <c r="V219" s="104" t="s">
        <v>141</v>
      </c>
      <c r="W219" s="104" t="str">
        <f>W175</f>
        <v>subtract island</v>
      </c>
    </row>
    <row r="220" spans="3:29">
      <c r="C220" s="104">
        <f t="shared" si="24"/>
        <v>306</v>
      </c>
      <c r="D220" s="104" t="s">
        <v>141</v>
      </c>
      <c r="E220" s="104" t="str">
        <f t="shared" si="25"/>
        <v>patch</v>
      </c>
      <c r="F220" s="104">
        <f t="shared" si="25"/>
        <v>1</v>
      </c>
      <c r="H220" s="100">
        <f t="shared" si="26"/>
        <v>694</v>
      </c>
      <c r="I220" s="100" t="s">
        <v>141</v>
      </c>
      <c r="J220" s="100" t="str">
        <f t="shared" si="27"/>
        <v>approach</v>
      </c>
      <c r="K220" s="100">
        <f t="shared" si="28"/>
        <v>3</v>
      </c>
      <c r="O220" s="104">
        <f t="shared" si="21"/>
        <v>1977</v>
      </c>
      <c r="P220" s="104" t="s">
        <v>141</v>
      </c>
      <c r="Q220" s="104" t="str">
        <f t="shared" si="22"/>
        <v>approach</v>
      </c>
      <c r="R220" s="104">
        <f t="shared" si="22"/>
        <v>2</v>
      </c>
      <c r="T220" t="s">
        <v>157</v>
      </c>
      <c r="U220" s="104"/>
      <c r="X220">
        <v>1</v>
      </c>
    </row>
    <row r="221" spans="3:29">
      <c r="C221" s="104">
        <f>C178</f>
        <v>347</v>
      </c>
      <c r="D221" s="104" t="s">
        <v>141</v>
      </c>
      <c r="E221" s="104" t="str">
        <f t="shared" si="25"/>
        <v>patch</v>
      </c>
      <c r="F221" s="104">
        <f t="shared" si="25"/>
        <v>1</v>
      </c>
      <c r="H221" s="100">
        <f t="shared" si="26"/>
        <v>324</v>
      </c>
      <c r="I221" s="100" t="s">
        <v>141</v>
      </c>
      <c r="J221" s="100" t="str">
        <f t="shared" si="27"/>
        <v>approach</v>
      </c>
      <c r="K221" s="100">
        <f t="shared" si="28"/>
        <v>3</v>
      </c>
      <c r="O221" s="104">
        <f t="shared" si="21"/>
        <v>731</v>
      </c>
      <c r="P221" s="104" t="s">
        <v>141</v>
      </c>
      <c r="Q221" s="104" t="str">
        <f t="shared" si="22"/>
        <v>approach</v>
      </c>
      <c r="R221" s="104">
        <f t="shared" si="22"/>
        <v>2</v>
      </c>
      <c r="U221">
        <f>U215-U216-U217-U218-U219</f>
        <v>132665</v>
      </c>
      <c r="V221" t="s">
        <v>141</v>
      </c>
    </row>
    <row r="222" spans="3:29">
      <c r="C222" s="104">
        <f t="shared" si="24"/>
        <v>1116</v>
      </c>
      <c r="D222" s="104" t="s">
        <v>141</v>
      </c>
      <c r="E222" s="104" t="str">
        <f t="shared" si="25"/>
        <v xml:space="preserve">approach </v>
      </c>
      <c r="F222" s="104">
        <f t="shared" si="25"/>
        <v>1</v>
      </c>
      <c r="H222" s="100">
        <f t="shared" si="26"/>
        <v>1229</v>
      </c>
      <c r="I222" s="100" t="s">
        <v>141</v>
      </c>
      <c r="J222" s="100" t="str">
        <f t="shared" si="27"/>
        <v>approach</v>
      </c>
      <c r="K222" s="100">
        <f t="shared" si="28"/>
        <v>3</v>
      </c>
      <c r="O222" s="104">
        <f t="shared" si="21"/>
        <v>4558</v>
      </c>
      <c r="P222" s="104" t="s">
        <v>141</v>
      </c>
      <c r="Q222" s="104" t="str">
        <f t="shared" si="22"/>
        <v>approach</v>
      </c>
      <c r="R222" s="104">
        <f t="shared" si="22"/>
        <v>2</v>
      </c>
    </row>
    <row r="223" spans="3:29">
      <c r="C223" s="104">
        <f t="shared" si="24"/>
        <v>66162</v>
      </c>
      <c r="D223" s="104" t="s">
        <v>141</v>
      </c>
      <c r="E223" s="104" t="str">
        <f t="shared" si="25"/>
        <v>14+67.83 to 30+00</v>
      </c>
      <c r="F223" s="104">
        <f t="shared" si="25"/>
        <v>1</v>
      </c>
      <c r="H223" s="100">
        <f t="shared" si="26"/>
        <v>1229</v>
      </c>
      <c r="I223" s="100" t="s">
        <v>141</v>
      </c>
      <c r="J223" s="100" t="str">
        <f t="shared" si="27"/>
        <v>approach</v>
      </c>
      <c r="K223" s="100">
        <f t="shared" si="28"/>
        <v>3</v>
      </c>
    </row>
    <row r="224" spans="3:29">
      <c r="C224" s="104"/>
      <c r="H224" s="100">
        <f>H186</f>
        <v>7020</v>
      </c>
      <c r="I224" s="100" t="s">
        <v>141</v>
      </c>
      <c r="J224" s="100" t="str">
        <f>J186</f>
        <v>51+80 to 54+50</v>
      </c>
      <c r="K224" s="100">
        <f>K186</f>
        <v>3</v>
      </c>
      <c r="N224" s="100" t="s">
        <v>157</v>
      </c>
      <c r="O224" s="100">
        <f>SUM(O214:O217)</f>
        <v>25510</v>
      </c>
      <c r="P224" s="100" t="s">
        <v>141</v>
      </c>
      <c r="Q224" s="100"/>
      <c r="R224" s="100">
        <v>3</v>
      </c>
    </row>
    <row r="225" spans="2:18">
      <c r="B225" t="s">
        <v>157</v>
      </c>
      <c r="C225">
        <f>SUM(C214:C223)</f>
        <v>115930</v>
      </c>
      <c r="D225" t="s">
        <v>141</v>
      </c>
      <c r="F225">
        <v>1</v>
      </c>
      <c r="H225" s="100">
        <f t="shared" ref="H225:H226" si="29">H187</f>
        <v>161</v>
      </c>
      <c r="I225" s="100" t="s">
        <v>141</v>
      </c>
      <c r="J225" s="100" t="str">
        <f t="shared" ref="J225:K225" si="30">J187</f>
        <v>approach</v>
      </c>
      <c r="K225" s="100">
        <f t="shared" si="30"/>
        <v>3</v>
      </c>
      <c r="O225">
        <f>SUM(O218:O222)</f>
        <v>89766</v>
      </c>
      <c r="P225" t="s">
        <v>141</v>
      </c>
      <c r="R225" t="s">
        <v>171</v>
      </c>
    </row>
    <row r="226" spans="2:18">
      <c r="H226" s="100">
        <f t="shared" si="29"/>
        <v>151</v>
      </c>
      <c r="I226" s="100" t="s">
        <v>141</v>
      </c>
      <c r="J226" s="100" t="str">
        <f t="shared" ref="J226:K226" si="31">J188</f>
        <v>approach</v>
      </c>
      <c r="K226" s="100">
        <f t="shared" si="31"/>
        <v>3</v>
      </c>
    </row>
    <row r="227" spans="2:18">
      <c r="H227" s="100">
        <f>H192</f>
        <v>73840</v>
      </c>
      <c r="I227" s="100" t="s">
        <v>141</v>
      </c>
      <c r="J227" s="100" t="str">
        <f>J192</f>
        <v>61+60 to 90+00</v>
      </c>
      <c r="K227" s="100">
        <f>K192</f>
        <v>3</v>
      </c>
      <c r="N227" t="s">
        <v>157</v>
      </c>
      <c r="O227">
        <f>O224+O225</f>
        <v>115276</v>
      </c>
      <c r="P227" t="s">
        <v>141</v>
      </c>
    </row>
    <row r="228" spans="2:18">
      <c r="H228" s="100">
        <f t="shared" ref="H228:H240" si="32">H193</f>
        <v>1129</v>
      </c>
      <c r="I228" s="100" t="s">
        <v>141</v>
      </c>
      <c r="J228" s="100" t="str">
        <f t="shared" ref="J228:K228" si="33">J193</f>
        <v>approach</v>
      </c>
      <c r="K228" s="100">
        <f t="shared" si="33"/>
        <v>3</v>
      </c>
    </row>
    <row r="229" spans="2:18">
      <c r="H229" s="100">
        <f t="shared" si="32"/>
        <v>1706</v>
      </c>
      <c r="I229" s="100" t="s">
        <v>141</v>
      </c>
      <c r="J229" s="100" t="str">
        <f t="shared" ref="J229:K229" si="34">J194</f>
        <v>approach</v>
      </c>
      <c r="K229" s="100">
        <f t="shared" si="34"/>
        <v>3</v>
      </c>
    </row>
    <row r="230" spans="2:18">
      <c r="H230" s="100">
        <f t="shared" si="32"/>
        <v>1384</v>
      </c>
      <c r="I230" s="100" t="s">
        <v>141</v>
      </c>
      <c r="J230" s="100" t="str">
        <f t="shared" ref="J230:K230" si="35">J195</f>
        <v>approach</v>
      </c>
      <c r="K230" s="100">
        <f t="shared" si="35"/>
        <v>3</v>
      </c>
    </row>
    <row r="231" spans="2:18">
      <c r="H231" s="100">
        <f t="shared" si="32"/>
        <v>1357</v>
      </c>
      <c r="I231" s="100" t="s">
        <v>141</v>
      </c>
      <c r="J231" s="100" t="str">
        <f t="shared" ref="J231:K231" si="36">J196</f>
        <v>approach</v>
      </c>
      <c r="K231" s="100">
        <f t="shared" si="36"/>
        <v>3</v>
      </c>
    </row>
    <row r="232" spans="2:18">
      <c r="H232" s="100">
        <f t="shared" si="32"/>
        <v>605</v>
      </c>
      <c r="I232" s="100" t="s">
        <v>141</v>
      </c>
      <c r="J232" s="100" t="str">
        <f t="shared" ref="J232:K232" si="37">J197</f>
        <v>approach</v>
      </c>
      <c r="K232" s="100">
        <f t="shared" si="37"/>
        <v>3</v>
      </c>
    </row>
    <row r="233" spans="2:18">
      <c r="H233" s="100">
        <f t="shared" si="32"/>
        <v>812</v>
      </c>
      <c r="I233" s="100" t="s">
        <v>141</v>
      </c>
      <c r="J233" s="100" t="str">
        <f t="shared" ref="J233:K233" si="38">J198</f>
        <v>approach</v>
      </c>
      <c r="K233" s="100">
        <f t="shared" si="38"/>
        <v>3</v>
      </c>
    </row>
    <row r="234" spans="2:18">
      <c r="H234" s="100">
        <f t="shared" si="32"/>
        <v>533</v>
      </c>
      <c r="I234" s="100" t="s">
        <v>141</v>
      </c>
      <c r="J234" s="100" t="str">
        <f t="shared" ref="J234:K234" si="39">J199</f>
        <v>approach</v>
      </c>
      <c r="K234" s="100">
        <f t="shared" si="39"/>
        <v>3</v>
      </c>
    </row>
    <row r="235" spans="2:18">
      <c r="H235" s="100">
        <f t="shared" si="32"/>
        <v>665</v>
      </c>
      <c r="I235" s="100" t="s">
        <v>141</v>
      </c>
      <c r="J235" s="100" t="str">
        <f t="shared" ref="J235:K235" si="40">J200</f>
        <v>approach</v>
      </c>
      <c r="K235" s="100">
        <f t="shared" si="40"/>
        <v>3</v>
      </c>
    </row>
    <row r="236" spans="2:18">
      <c r="H236" s="100">
        <f t="shared" si="32"/>
        <v>1993</v>
      </c>
      <c r="I236" s="100" t="s">
        <v>141</v>
      </c>
      <c r="J236" s="100" t="str">
        <f t="shared" ref="J236:K236" si="41">J201</f>
        <v>approach</v>
      </c>
      <c r="K236" s="100">
        <f t="shared" si="41"/>
        <v>3</v>
      </c>
    </row>
    <row r="237" spans="2:18">
      <c r="H237" s="100">
        <f t="shared" si="32"/>
        <v>1237</v>
      </c>
      <c r="I237" s="100" t="s">
        <v>141</v>
      </c>
      <c r="J237" s="100" t="str">
        <f t="shared" ref="J237:K237" si="42">J202</f>
        <v>approach</v>
      </c>
      <c r="K237" s="100">
        <f t="shared" si="42"/>
        <v>3</v>
      </c>
    </row>
    <row r="238" spans="2:18">
      <c r="H238" s="100">
        <f t="shared" si="32"/>
        <v>1231</v>
      </c>
      <c r="I238" s="100" t="s">
        <v>141</v>
      </c>
      <c r="J238" s="100" t="str">
        <f t="shared" ref="J238:K238" si="43">J203</f>
        <v>approach</v>
      </c>
      <c r="K238" s="100">
        <f t="shared" si="43"/>
        <v>3</v>
      </c>
    </row>
    <row r="239" spans="2:18">
      <c r="H239" s="100">
        <f t="shared" si="32"/>
        <v>1166</v>
      </c>
      <c r="I239" s="100" t="s">
        <v>141</v>
      </c>
      <c r="J239" s="100" t="str">
        <f t="shared" ref="J239:K239" si="44">J204</f>
        <v>approach</v>
      </c>
      <c r="K239" s="100">
        <f t="shared" si="44"/>
        <v>3</v>
      </c>
    </row>
    <row r="240" spans="2:18">
      <c r="H240" s="100">
        <f t="shared" si="32"/>
        <v>304</v>
      </c>
      <c r="I240" s="100" t="s">
        <v>141</v>
      </c>
      <c r="J240" s="100" t="str">
        <f t="shared" ref="J240:K240" si="45">J205</f>
        <v>approach</v>
      </c>
      <c r="K240" s="100">
        <f t="shared" si="45"/>
        <v>3</v>
      </c>
    </row>
    <row r="241" spans="7:11">
      <c r="H241" s="104"/>
      <c r="I241" s="104"/>
      <c r="J241" s="104"/>
      <c r="K241" s="104"/>
    </row>
    <row r="242" spans="7:11">
      <c r="H242" s="104"/>
      <c r="I242" s="104"/>
      <c r="J242" s="104"/>
      <c r="K242" s="104"/>
    </row>
    <row r="243" spans="7:11">
      <c r="G243" s="104" t="s">
        <v>169</v>
      </c>
      <c r="H243" s="104">
        <f>H214</f>
        <v>2893</v>
      </c>
      <c r="J243" s="104"/>
      <c r="K243" s="104">
        <v>1</v>
      </c>
    </row>
    <row r="244" spans="7:11">
      <c r="G244" s="100" t="s">
        <v>169</v>
      </c>
      <c r="H244" s="100">
        <f>SUM(H215:H240)</f>
        <v>133538</v>
      </c>
      <c r="J244" s="100"/>
      <c r="K244" s="100">
        <v>3</v>
      </c>
    </row>
    <row r="245" spans="7:11">
      <c r="I245"/>
    </row>
    <row r="246" spans="7:11">
      <c r="G246" t="s">
        <v>169</v>
      </c>
      <c r="H246">
        <f>H243+H244</f>
        <v>136431</v>
      </c>
      <c r="I246" t="s">
        <v>141</v>
      </c>
    </row>
    <row r="247" spans="7:11">
      <c r="I247"/>
    </row>
    <row r="248" spans="7:11">
      <c r="I248"/>
    </row>
    <row r="249" spans="7:11">
      <c r="I249"/>
    </row>
    <row r="250" spans="7:11">
      <c r="I250"/>
    </row>
    <row r="251" spans="7:11">
      <c r="I251"/>
    </row>
    <row r="252" spans="7:11">
      <c r="I252"/>
    </row>
    <row r="253" spans="7:11">
      <c r="I253"/>
    </row>
    <row r="254" spans="7:11">
      <c r="I254"/>
    </row>
    <row r="255" spans="7:11">
      <c r="I255"/>
    </row>
    <row r="256" spans="7:11">
      <c r="I256"/>
    </row>
    <row r="257" spans="9:9">
      <c r="I257"/>
    </row>
    <row r="258" spans="9:9">
      <c r="I258"/>
    </row>
    <row r="259" spans="9:9">
      <c r="I259"/>
    </row>
    <row r="260" spans="9:9">
      <c r="I260"/>
    </row>
    <row r="261" spans="9:9">
      <c r="I261"/>
    </row>
    <row r="262" spans="9:9">
      <c r="I262"/>
    </row>
    <row r="263" spans="9:9">
      <c r="I263"/>
    </row>
    <row r="264" spans="9:9">
      <c r="I264"/>
    </row>
    <row r="265" spans="9:9">
      <c r="I265"/>
    </row>
    <row r="266" spans="9:9">
      <c r="I266"/>
    </row>
    <row r="267" spans="9:9">
      <c r="I267"/>
    </row>
    <row r="268" spans="9:9">
      <c r="I268"/>
    </row>
    <row r="269" spans="9:9">
      <c r="I269"/>
    </row>
    <row r="270" spans="9:9">
      <c r="I270"/>
    </row>
    <row r="271" spans="9:9">
      <c r="I271"/>
    </row>
    <row r="272" spans="9:9">
      <c r="I272"/>
    </row>
    <row r="273" spans="9:9">
      <c r="I273"/>
    </row>
    <row r="274" spans="9:9">
      <c r="I274"/>
    </row>
    <row r="275" spans="9:9">
      <c r="I275"/>
    </row>
    <row r="276" spans="9:9">
      <c r="I276"/>
    </row>
    <row r="277" spans="9:9">
      <c r="I277"/>
    </row>
    <row r="278" spans="9:9">
      <c r="I278"/>
    </row>
    <row r="279" spans="9:9">
      <c r="I279"/>
    </row>
    <row r="280" spans="9:9">
      <c r="I280"/>
    </row>
    <row r="281" spans="9:9">
      <c r="I281"/>
    </row>
    <row r="282" spans="9:9">
      <c r="I282"/>
    </row>
    <row r="283" spans="9:9">
      <c r="I283"/>
    </row>
    <row r="284" spans="9:9">
      <c r="I284"/>
    </row>
    <row r="285" spans="9:9">
      <c r="I285"/>
    </row>
    <row r="286" spans="9:9">
      <c r="I286"/>
    </row>
    <row r="287" spans="9:9">
      <c r="I287"/>
    </row>
    <row r="288" spans="9:9">
      <c r="I288"/>
    </row>
    <row r="289" spans="9:9">
      <c r="I289"/>
    </row>
    <row r="290" spans="9:9">
      <c r="I290"/>
    </row>
    <row r="291" spans="9:9">
      <c r="I291"/>
    </row>
    <row r="292" spans="9:9">
      <c r="I292"/>
    </row>
    <row r="293" spans="9:9">
      <c r="I293"/>
    </row>
    <row r="294" spans="9:9">
      <c r="I294"/>
    </row>
    <row r="295" spans="9:9">
      <c r="I295"/>
    </row>
    <row r="296" spans="9:9">
      <c r="I296"/>
    </row>
    <row r="297" spans="9:9">
      <c r="I297"/>
    </row>
    <row r="298" spans="9:9">
      <c r="I298"/>
    </row>
    <row r="299" spans="9:9">
      <c r="I299"/>
    </row>
    <row r="300" spans="9:9">
      <c r="I300"/>
    </row>
    <row r="301" spans="9:9">
      <c r="I301"/>
    </row>
    <row r="302" spans="9:9">
      <c r="I302"/>
    </row>
    <row r="303" spans="9:9">
      <c r="I303"/>
    </row>
    <row r="304" spans="9:9">
      <c r="I304"/>
    </row>
    <row r="305" spans="9:9">
      <c r="I305"/>
    </row>
    <row r="306" spans="9:9">
      <c r="I306"/>
    </row>
    <row r="307" spans="9:9">
      <c r="I307"/>
    </row>
    <row r="308" spans="9:9">
      <c r="I308"/>
    </row>
    <row r="309" spans="9:9">
      <c r="I309"/>
    </row>
    <row r="310" spans="9:9">
      <c r="I310"/>
    </row>
    <row r="311" spans="9:9">
      <c r="I311"/>
    </row>
    <row r="312" spans="9:9">
      <c r="I312"/>
    </row>
    <row r="313" spans="9:9">
      <c r="I313"/>
    </row>
    <row r="314" spans="9:9">
      <c r="I314"/>
    </row>
    <row r="315" spans="9:9">
      <c r="I315"/>
    </row>
    <row r="316" spans="9:9">
      <c r="I316"/>
    </row>
    <row r="317" spans="9:9">
      <c r="I317"/>
    </row>
    <row r="318" spans="9:9">
      <c r="I318"/>
    </row>
    <row r="319" spans="9:9">
      <c r="I319"/>
    </row>
    <row r="320" spans="9:9">
      <c r="I320"/>
    </row>
    <row r="321" spans="9:9">
      <c r="I321"/>
    </row>
    <row r="322" spans="9:9">
      <c r="I322"/>
    </row>
    <row r="323" spans="9:9">
      <c r="I323"/>
    </row>
    <row r="324" spans="9:9">
      <c r="I324"/>
    </row>
    <row r="325" spans="9:9">
      <c r="I325"/>
    </row>
    <row r="326" spans="9:9">
      <c r="I326"/>
    </row>
    <row r="327" spans="9:9">
      <c r="I327"/>
    </row>
    <row r="328" spans="9:9">
      <c r="I328"/>
    </row>
    <row r="329" spans="9:9">
      <c r="I329"/>
    </row>
    <row r="330" spans="9:9">
      <c r="I330"/>
    </row>
    <row r="331" spans="9:9">
      <c r="I331"/>
    </row>
    <row r="332" spans="9:9">
      <c r="I332"/>
    </row>
    <row r="333" spans="9:9">
      <c r="I333"/>
    </row>
    <row r="334" spans="9:9">
      <c r="I334"/>
    </row>
    <row r="335" spans="9:9">
      <c r="I335"/>
    </row>
    <row r="336" spans="9:9">
      <c r="I336"/>
    </row>
    <row r="337" spans="9:9">
      <c r="I337"/>
    </row>
    <row r="338" spans="9:9">
      <c r="I338"/>
    </row>
    <row r="339" spans="9:9">
      <c r="I339"/>
    </row>
    <row r="340" spans="9:9">
      <c r="I340"/>
    </row>
    <row r="341" spans="9:9">
      <c r="I341"/>
    </row>
    <row r="342" spans="9:9">
      <c r="I342"/>
    </row>
    <row r="343" spans="9:9">
      <c r="I343"/>
    </row>
    <row r="344" spans="9:9">
      <c r="I344"/>
    </row>
    <row r="345" spans="9:9">
      <c r="I345"/>
    </row>
    <row r="346" spans="9:9">
      <c r="I346"/>
    </row>
  </sheetData>
  <mergeCells count="291">
    <mergeCell ref="C170:D170"/>
    <mergeCell ref="H170:I170"/>
    <mergeCell ref="C169:E169"/>
    <mergeCell ref="C168:X168"/>
    <mergeCell ref="U169:X169"/>
    <mergeCell ref="C212:E212"/>
    <mergeCell ref="C213:D213"/>
    <mergeCell ref="H169:L169"/>
    <mergeCell ref="O169:S169"/>
    <mergeCell ref="H213:I213"/>
    <mergeCell ref="H212:L212"/>
    <mergeCell ref="O212:S212"/>
    <mergeCell ref="F32:G32"/>
    <mergeCell ref="D32:E32"/>
    <mergeCell ref="B32:C32"/>
    <mergeCell ref="Q32:R32"/>
    <mergeCell ref="O32:P32"/>
    <mergeCell ref="M32:N32"/>
    <mergeCell ref="K32:L32"/>
    <mergeCell ref="H32:J32"/>
    <mergeCell ref="S33:T33"/>
    <mergeCell ref="O33:P33"/>
    <mergeCell ref="Q33:R33"/>
    <mergeCell ref="B33:C33"/>
    <mergeCell ref="D33:E33"/>
    <mergeCell ref="F33:G33"/>
    <mergeCell ref="H33:J33"/>
    <mergeCell ref="K33:L33"/>
    <mergeCell ref="M33:N33"/>
    <mergeCell ref="D103:G103"/>
    <mergeCell ref="B106:C106"/>
    <mergeCell ref="B115:C115"/>
    <mergeCell ref="B114:C114"/>
    <mergeCell ref="B113:C113"/>
    <mergeCell ref="B112:C112"/>
    <mergeCell ref="B111:C111"/>
    <mergeCell ref="B110:C110"/>
    <mergeCell ref="B108:C108"/>
    <mergeCell ref="B107:C107"/>
    <mergeCell ref="B105:C105"/>
    <mergeCell ref="I103:L103"/>
    <mergeCell ref="AA105:AB105"/>
    <mergeCell ref="AA106:AB106"/>
    <mergeCell ref="AA107:AB107"/>
    <mergeCell ref="AA108:AB108"/>
    <mergeCell ref="AA110:AB110"/>
    <mergeCell ref="AA111:AB111"/>
    <mergeCell ref="AA112:AB112"/>
    <mergeCell ref="AA113:AB113"/>
    <mergeCell ref="AA114:AB114"/>
    <mergeCell ref="AA116:AB116"/>
    <mergeCell ref="AA117:AB117"/>
    <mergeCell ref="AA118:AB118"/>
    <mergeCell ref="X119:Y119"/>
    <mergeCell ref="U89:V89"/>
    <mergeCell ref="X120:Y120"/>
    <mergeCell ref="X114:Y114"/>
    <mergeCell ref="X115:Y115"/>
    <mergeCell ref="X116:Y116"/>
    <mergeCell ref="X117:Y117"/>
    <mergeCell ref="X118:Y118"/>
    <mergeCell ref="AA115:AB115"/>
    <mergeCell ref="E126:F126"/>
    <mergeCell ref="C127:D127"/>
    <mergeCell ref="C128:D128"/>
    <mergeCell ref="G126:H126"/>
    <mergeCell ref="I126:J126"/>
    <mergeCell ref="B120:C120"/>
    <mergeCell ref="B119:C119"/>
    <mergeCell ref="B118:C118"/>
    <mergeCell ref="B117:C117"/>
    <mergeCell ref="I127:J127"/>
    <mergeCell ref="E127:F127"/>
    <mergeCell ref="G127:H127"/>
    <mergeCell ref="K127:L127"/>
    <mergeCell ref="M127:N127"/>
    <mergeCell ref="O127:P127"/>
    <mergeCell ref="G128:H128"/>
    <mergeCell ref="I128:J128"/>
    <mergeCell ref="K128:L128"/>
    <mergeCell ref="M128:N128"/>
    <mergeCell ref="O128:P128"/>
    <mergeCell ref="A127:A135"/>
    <mergeCell ref="B133:B135"/>
    <mergeCell ref="C135:D135"/>
    <mergeCell ref="E135:F135"/>
    <mergeCell ref="G135:H135"/>
    <mergeCell ref="I135:J135"/>
    <mergeCell ref="K135:L135"/>
    <mergeCell ref="M133:N133"/>
    <mergeCell ref="O133:P133"/>
    <mergeCell ref="C134:D134"/>
    <mergeCell ref="E134:F134"/>
    <mergeCell ref="G134:H134"/>
    <mergeCell ref="I134:J134"/>
    <mergeCell ref="K134:L134"/>
    <mergeCell ref="M134:N134"/>
    <mergeCell ref="O134:P134"/>
    <mergeCell ref="C133:D133"/>
    <mergeCell ref="E133:F133"/>
    <mergeCell ref="G133:H133"/>
    <mergeCell ref="I133:J133"/>
    <mergeCell ref="K133:L133"/>
    <mergeCell ref="M129:N129"/>
    <mergeCell ref="O129:P129"/>
    <mergeCell ref="E132:F132"/>
    <mergeCell ref="U38:V38"/>
    <mergeCell ref="U39:V39"/>
    <mergeCell ref="U40:V40"/>
    <mergeCell ref="U41:V41"/>
    <mergeCell ref="U42:V42"/>
    <mergeCell ref="U52:V52"/>
    <mergeCell ref="U58:V58"/>
    <mergeCell ref="U59:V59"/>
    <mergeCell ref="U60:V60"/>
    <mergeCell ref="U61:V61"/>
    <mergeCell ref="U62:V62"/>
    <mergeCell ref="U64:V64"/>
    <mergeCell ref="U65:V65"/>
    <mergeCell ref="U53:V53"/>
    <mergeCell ref="U54:V54"/>
    <mergeCell ref="U55:V55"/>
    <mergeCell ref="U33:V33"/>
    <mergeCell ref="U34:V34"/>
    <mergeCell ref="U35:V35"/>
    <mergeCell ref="U36:V36"/>
    <mergeCell ref="U37:V37"/>
    <mergeCell ref="U48:V48"/>
    <mergeCell ref="U49:V49"/>
    <mergeCell ref="U50:V50"/>
    <mergeCell ref="U51:V51"/>
    <mergeCell ref="U43:V43"/>
    <mergeCell ref="U44:V44"/>
    <mergeCell ref="U45:V45"/>
    <mergeCell ref="U46:V46"/>
    <mergeCell ref="U47:V47"/>
    <mergeCell ref="U56:V56"/>
    <mergeCell ref="U57:V57"/>
    <mergeCell ref="M135:N135"/>
    <mergeCell ref="O135:P135"/>
    <mergeCell ref="B127:B129"/>
    <mergeCell ref="G132:H132"/>
    <mergeCell ref="I132:J132"/>
    <mergeCell ref="K132:L132"/>
    <mergeCell ref="U66:V66"/>
    <mergeCell ref="U67:V67"/>
    <mergeCell ref="U68:V68"/>
    <mergeCell ref="U69:V69"/>
    <mergeCell ref="U70:V70"/>
    <mergeCell ref="M132:N132"/>
    <mergeCell ref="O132:P132"/>
    <mergeCell ref="C129:D129"/>
    <mergeCell ref="E129:F129"/>
    <mergeCell ref="G129:H129"/>
    <mergeCell ref="I129:J129"/>
    <mergeCell ref="K129:L129"/>
    <mergeCell ref="K126:L126"/>
    <mergeCell ref="M126:N126"/>
    <mergeCell ref="O126:P126"/>
    <mergeCell ref="E128:F128"/>
    <mergeCell ref="E139:F139"/>
    <mergeCell ref="G139:H139"/>
    <mergeCell ref="I139:J139"/>
    <mergeCell ref="K139:L139"/>
    <mergeCell ref="M139:N139"/>
    <mergeCell ref="O139:P139"/>
    <mergeCell ref="E140:F140"/>
    <mergeCell ref="G140:H140"/>
    <mergeCell ref="I140:J140"/>
    <mergeCell ref="K140:L140"/>
    <mergeCell ref="M140:N140"/>
    <mergeCell ref="O140:P140"/>
    <mergeCell ref="E142:F142"/>
    <mergeCell ref="G142:H142"/>
    <mergeCell ref="I142:J142"/>
    <mergeCell ref="K142:L142"/>
    <mergeCell ref="M142:N142"/>
    <mergeCell ref="O142:P142"/>
    <mergeCell ref="C147:D147"/>
    <mergeCell ref="C145:D145"/>
    <mergeCell ref="I147:J147"/>
    <mergeCell ref="K147:L147"/>
    <mergeCell ref="M147:N147"/>
    <mergeCell ref="O144:P144"/>
    <mergeCell ref="E145:F145"/>
    <mergeCell ref="G145:H145"/>
    <mergeCell ref="I145:J145"/>
    <mergeCell ref="K145:L145"/>
    <mergeCell ref="M145:N145"/>
    <mergeCell ref="O145:P145"/>
    <mergeCell ref="E144:F144"/>
    <mergeCell ref="G144:H144"/>
    <mergeCell ref="I144:J144"/>
    <mergeCell ref="K144:L144"/>
    <mergeCell ref="M144:N144"/>
    <mergeCell ref="B155:C155"/>
    <mergeCell ref="B154:C154"/>
    <mergeCell ref="A153:A157"/>
    <mergeCell ref="O147:P147"/>
    <mergeCell ref="C141:D141"/>
    <mergeCell ref="C146:D146"/>
    <mergeCell ref="E146:F146"/>
    <mergeCell ref="G146:H146"/>
    <mergeCell ref="I146:J146"/>
    <mergeCell ref="K146:L146"/>
    <mergeCell ref="M146:N146"/>
    <mergeCell ref="O146:P146"/>
    <mergeCell ref="E141:F141"/>
    <mergeCell ref="G141:H141"/>
    <mergeCell ref="I141:J141"/>
    <mergeCell ref="K141:L141"/>
    <mergeCell ref="M141:N141"/>
    <mergeCell ref="O141:P141"/>
    <mergeCell ref="E147:F147"/>
    <mergeCell ref="G147:H147"/>
    <mergeCell ref="B140:B142"/>
    <mergeCell ref="B145:B147"/>
    <mergeCell ref="C140:D140"/>
    <mergeCell ref="C142:D142"/>
    <mergeCell ref="U63:V63"/>
    <mergeCell ref="B163:C163"/>
    <mergeCell ref="B164:C164"/>
    <mergeCell ref="D162:E162"/>
    <mergeCell ref="F162:G162"/>
    <mergeCell ref="H162:I162"/>
    <mergeCell ref="J162:K162"/>
    <mergeCell ref="L162:M162"/>
    <mergeCell ref="N162:O162"/>
    <mergeCell ref="D163:E163"/>
    <mergeCell ref="F163:G163"/>
    <mergeCell ref="H163:I163"/>
    <mergeCell ref="J163:K163"/>
    <mergeCell ref="L163:M163"/>
    <mergeCell ref="N163:O163"/>
    <mergeCell ref="D164:E164"/>
    <mergeCell ref="F164:G164"/>
    <mergeCell ref="H164:I164"/>
    <mergeCell ref="J164:K164"/>
    <mergeCell ref="L164:M164"/>
    <mergeCell ref="N164:O164"/>
    <mergeCell ref="B153:C153"/>
    <mergeCell ref="B157:C157"/>
    <mergeCell ref="B156:C156"/>
    <mergeCell ref="X121:Y121"/>
    <mergeCell ref="AA121:AB121"/>
    <mergeCell ref="X122:Y122"/>
    <mergeCell ref="AA122:AB122"/>
    <mergeCell ref="A105:A122"/>
    <mergeCell ref="U81:V81"/>
    <mergeCell ref="U82:V82"/>
    <mergeCell ref="U83:V83"/>
    <mergeCell ref="U84:V84"/>
    <mergeCell ref="U85:V85"/>
    <mergeCell ref="U86:V86"/>
    <mergeCell ref="U87:V87"/>
    <mergeCell ref="U88:V88"/>
    <mergeCell ref="B116:C116"/>
    <mergeCell ref="X105:Y105"/>
    <mergeCell ref="X106:Y106"/>
    <mergeCell ref="X107:Y107"/>
    <mergeCell ref="X108:Y108"/>
    <mergeCell ref="X110:Y110"/>
    <mergeCell ref="X111:Y111"/>
    <mergeCell ref="X112:Y112"/>
    <mergeCell ref="X113:Y113"/>
    <mergeCell ref="AA119:AB119"/>
    <mergeCell ref="AA120:AB120"/>
    <mergeCell ref="A168:B168"/>
    <mergeCell ref="O103:U103"/>
    <mergeCell ref="B109:C109"/>
    <mergeCell ref="U76:V76"/>
    <mergeCell ref="U77:V77"/>
    <mergeCell ref="U78:V78"/>
    <mergeCell ref="U79:V79"/>
    <mergeCell ref="U80:V80"/>
    <mergeCell ref="U71:V71"/>
    <mergeCell ref="U72:V72"/>
    <mergeCell ref="U73:V73"/>
    <mergeCell ref="U74:V74"/>
    <mergeCell ref="U75:V75"/>
    <mergeCell ref="B121:C121"/>
    <mergeCell ref="B122:C122"/>
    <mergeCell ref="B165:C165"/>
    <mergeCell ref="A163:A165"/>
    <mergeCell ref="D165:E165"/>
    <mergeCell ref="F165:G165"/>
    <mergeCell ref="H165:I165"/>
    <mergeCell ref="J165:K165"/>
    <mergeCell ref="L165:M165"/>
    <mergeCell ref="N165:O165"/>
    <mergeCell ref="A140:A147"/>
  </mergeCells>
  <pageMargins left="0.7" right="0.7" top="0.75" bottom="0.75" header="0.3" footer="0.3"/>
  <pageSetup paperSize="1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BID ITEMS</vt:lpstr>
      <vt:lpstr>Sheet1</vt:lpstr>
      <vt:lpstr>Sheet1 (2)</vt:lpstr>
      <vt:lpstr>Sheet2</vt:lpstr>
      <vt:lpstr>Sheet3</vt:lpstr>
      <vt:lpstr>'Sheet1 (2)'!Print_Area</vt:lpstr>
      <vt:lpstr>'BID ITEMS'!Print_Titles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Shane Matt</dc:creator>
  <cp:lastModifiedBy>eh</cp:lastModifiedBy>
  <cp:lastPrinted>2019-12-18T23:12:16Z</cp:lastPrinted>
  <dcterms:created xsi:type="dcterms:W3CDTF">2013-11-07T17:01:46Z</dcterms:created>
  <dcterms:modified xsi:type="dcterms:W3CDTF">2020-09-22T19:49:24Z</dcterms:modified>
</cp:coreProperties>
</file>